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rickclark/My Files/NST 3/2022 Five Year Plans/"/>
    </mc:Choice>
  </mc:AlternateContent>
  <xr:revisionPtr revIDLastSave="0" documentId="13_ncr:1_{17B4DCA1-2E85-4746-B7B3-607A11E92361}" xr6:coauthVersionLast="47" xr6:coauthVersionMax="47" xr10:uidLastSave="{00000000-0000-0000-0000-000000000000}"/>
  <bookViews>
    <workbookView xWindow="0" yWindow="500" windowWidth="25600" windowHeight="14740" tabRatio="642" firstSheet="1" activeTab="2" xr2:uid="{00000000-000D-0000-FFFF-FFFF00000000}"/>
  </bookViews>
  <sheets>
    <sheet name="Instructions" sheetId="8" r:id="rId1"/>
    <sheet name="Color Guide" sheetId="11" r:id="rId2"/>
    <sheet name="Setup" sheetId="2" r:id="rId3"/>
    <sheet name="Membership History and Planning" sheetId="9" r:id="rId4"/>
    <sheet name="Council Program Fees" sheetId="12" r:id="rId5"/>
    <sheet name="A. History Input &amp; Output" sheetId="1" r:id="rId6"/>
    <sheet name="B. Historical Growth" sheetId="6" r:id="rId7"/>
    <sheet name="C. Endowment Investments" sheetId="7" r:id="rId8"/>
    <sheet name="Capital Fund -Camping" sheetId="13" r:id="rId9"/>
    <sheet name="D. Growth Plan" sheetId="4" r:id="rId10"/>
    <sheet name="E. Output" sheetId="5" r:id="rId11"/>
    <sheet name="Sheet1" sheetId="10" r:id="rId12"/>
  </sheets>
  <externalReferences>
    <externalReference r:id="rId13"/>
    <externalReference r:id="rId14"/>
  </externalReferences>
  <definedNames>
    <definedName name="_xlnm.Print_Area" localSheetId="5">'A. History Input &amp; Output'!$A$1:$AB$71</definedName>
    <definedName name="_xlnm.Print_Area" localSheetId="6">'B. Historical Growth'!$A$1:$P$33</definedName>
    <definedName name="_xlnm.Print_Area" localSheetId="7">'C. Endowment Investments'!$A$1:$N$37</definedName>
    <definedName name="_xlnm.Print_Area" localSheetId="4">'Council Program Fees'!$A$1:$G$16</definedName>
    <definedName name="_xlnm.Print_Area" localSheetId="9">'D. Growth Plan'!$A$1:$Q$39</definedName>
    <definedName name="_xlnm.Print_Area" localSheetId="10">'E. Output'!$A$2:$L$42</definedName>
    <definedName name="_xlnm.Print_Area" localSheetId="0">Instructions!$B$2:$B$60</definedName>
    <definedName name="_xlnm.Print_Area" localSheetId="3">'Membership History and Planning'!$A$1:$AG$37</definedName>
    <definedName name="_xlnm.Print_Area" localSheetId="2">Setup!$A$1:$D$31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13" l="1"/>
  <c r="D40" i="13"/>
  <c r="C40" i="13"/>
  <c r="H38" i="13"/>
  <c r="K30" i="13" s="1"/>
  <c r="D38" i="13"/>
  <c r="C38" i="13"/>
  <c r="H36" i="13"/>
  <c r="H40" i="13" s="1"/>
  <c r="G36" i="13"/>
  <c r="F36" i="13"/>
  <c r="E36" i="13"/>
  <c r="D36" i="13"/>
  <c r="C36" i="13"/>
  <c r="L34" i="13"/>
  <c r="O34" i="13" s="1"/>
  <c r="R34" i="13" s="1"/>
  <c r="U34" i="13" s="1"/>
  <c r="X34" i="13" s="1"/>
  <c r="W30" i="13"/>
  <c r="W38" i="13" s="1"/>
  <c r="T30" i="13"/>
  <c r="H30" i="13"/>
  <c r="H32" i="13" s="1"/>
  <c r="G30" i="13"/>
  <c r="G38" i="13" s="1"/>
  <c r="G40" i="13" s="1"/>
  <c r="F30" i="13"/>
  <c r="F38" i="13" s="1"/>
  <c r="F40" i="13" s="1"/>
  <c r="E30" i="13"/>
  <c r="E32" i="13" s="1"/>
  <c r="D30" i="13"/>
  <c r="D32" i="13" s="1"/>
  <c r="C30" i="13"/>
  <c r="C32" i="13" s="1"/>
  <c r="H29" i="13"/>
  <c r="G22" i="13"/>
  <c r="I22" i="13" s="1"/>
  <c r="L22" i="13" s="1"/>
  <c r="O22" i="13" s="1"/>
  <c r="R22" i="13" s="1"/>
  <c r="U22" i="13" s="1"/>
  <c r="X22" i="13" s="1"/>
  <c r="F22" i="13"/>
  <c r="E22" i="13"/>
  <c r="D22" i="13"/>
  <c r="G20" i="13"/>
  <c r="F20" i="13"/>
  <c r="E20" i="13"/>
  <c r="D20" i="13"/>
  <c r="G19" i="13"/>
  <c r="F19" i="13"/>
  <c r="E19" i="13"/>
  <c r="D19" i="13"/>
  <c r="W17" i="13"/>
  <c r="T17" i="13"/>
  <c r="Q17" i="13"/>
  <c r="N17" i="13"/>
  <c r="K17" i="13"/>
  <c r="H17" i="13"/>
  <c r="G17" i="13"/>
  <c r="F17" i="13"/>
  <c r="E17" i="13"/>
  <c r="D17" i="13"/>
  <c r="C17" i="13"/>
  <c r="I15" i="13"/>
  <c r="I20" i="13" s="1"/>
  <c r="H15" i="13"/>
  <c r="I13" i="13"/>
  <c r="L13" i="13" s="1"/>
  <c r="O13" i="13" s="1"/>
  <c r="R13" i="13" s="1"/>
  <c r="U13" i="13" s="1"/>
  <c r="X13" i="13" s="1"/>
  <c r="I10" i="13"/>
  <c r="I19" i="13" s="1"/>
  <c r="L30" i="13" l="1"/>
  <c r="K38" i="13"/>
  <c r="L15" i="13"/>
  <c r="G32" i="13"/>
  <c r="I17" i="13"/>
  <c r="F32" i="13"/>
  <c r="K29" i="13"/>
  <c r="K36" i="13" s="1"/>
  <c r="L29" i="13"/>
  <c r="L36" i="13" s="1"/>
  <c r="N29" i="13" s="1"/>
  <c r="E38" i="13"/>
  <c r="E40" i="13" s="1"/>
  <c r="L10" i="13"/>
  <c r="O10" i="13" s="1"/>
  <c r="R10" i="13" s="1"/>
  <c r="U10" i="13" s="1"/>
  <c r="X10" i="13" s="1"/>
  <c r="T38" i="13"/>
  <c r="L17" i="13" l="1"/>
  <c r="O15" i="13"/>
  <c r="K32" i="13"/>
  <c r="K40" i="13" s="1"/>
  <c r="O29" i="13"/>
  <c r="O36" i="13" s="1"/>
  <c r="Q29" i="13" s="1"/>
  <c r="N36" i="13"/>
  <c r="L32" i="13"/>
  <c r="L40" i="13" s="1"/>
  <c r="L38" i="13"/>
  <c r="N30" i="13" s="1"/>
  <c r="Q36" i="13" l="1"/>
  <c r="R29" i="13"/>
  <c r="R36" i="13" s="1"/>
  <c r="T29" i="13" s="1"/>
  <c r="R15" i="13"/>
  <c r="O17" i="13"/>
  <c r="O30" i="13"/>
  <c r="O38" i="13" s="1"/>
  <c r="Q30" i="13" s="1"/>
  <c r="N32" i="13"/>
  <c r="N38" i="13"/>
  <c r="O32" i="13" l="1"/>
  <c r="O40" i="13" s="1"/>
  <c r="N40" i="13"/>
  <c r="Q38" i="13"/>
  <c r="Q32" i="13"/>
  <c r="R30" i="13"/>
  <c r="U30" i="13" s="1"/>
  <c r="X30" i="13" s="1"/>
  <c r="R17" i="13"/>
  <c r="U15" i="13"/>
  <c r="T36" i="13"/>
  <c r="U29" i="13"/>
  <c r="U36" i="13" s="1"/>
  <c r="W29" i="13" s="1"/>
  <c r="T32" i="13"/>
  <c r="U17" i="13" l="1"/>
  <c r="X15" i="13"/>
  <c r="X17" i="13" s="1"/>
  <c r="X29" i="13"/>
  <c r="X36" i="13" s="1"/>
  <c r="W36" i="13"/>
  <c r="W32" i="13"/>
  <c r="T40" i="13"/>
  <c r="R32" i="13"/>
  <c r="R40" i="13" s="1"/>
  <c r="Q40" i="13"/>
  <c r="U32" i="13" l="1"/>
  <c r="U40" i="13" s="1"/>
  <c r="W40" i="13"/>
  <c r="X32" i="13" l="1"/>
  <c r="X40" i="13" s="1"/>
  <c r="G8" i="13" l="1"/>
  <c r="K8" i="13"/>
  <c r="K27" i="13" s="1"/>
  <c r="D8" i="13"/>
  <c r="D27" i="13" s="1"/>
  <c r="C8" i="13"/>
  <c r="C27" i="13" s="1"/>
  <c r="E8" i="13"/>
  <c r="E27" i="13" s="1"/>
  <c r="F8" i="13"/>
  <c r="F27" i="13" s="1"/>
  <c r="G27" i="13" l="1"/>
  <c r="H27" i="13" s="1"/>
  <c r="H8" i="13"/>
  <c r="I8" i="13" s="1"/>
  <c r="L8" i="13" s="1"/>
  <c r="N27" i="13"/>
  <c r="L27" i="13"/>
  <c r="Q27" i="13" l="1"/>
  <c r="O27" i="13"/>
  <c r="O8" i="13"/>
  <c r="N8" i="13"/>
  <c r="R8" i="13" s="1"/>
  <c r="Q8" i="13" l="1"/>
  <c r="U8" i="13"/>
  <c r="R27" i="13"/>
  <c r="T27" i="13"/>
  <c r="T8" i="13" l="1"/>
  <c r="X8" i="13"/>
  <c r="W8" i="13" s="1"/>
  <c r="W27" i="13"/>
  <c r="X27" i="13" s="1"/>
  <c r="U27" i="13"/>
  <c r="K41" i="5" l="1"/>
  <c r="I41" i="5"/>
  <c r="G41" i="5"/>
  <c r="E41" i="5"/>
  <c r="C41" i="5"/>
  <c r="AA56" i="1" l="1"/>
  <c r="Y56" i="1"/>
  <c r="W56" i="1"/>
  <c r="U56" i="1"/>
  <c r="S56" i="1"/>
  <c r="C28" i="1"/>
  <c r="M26" i="1"/>
  <c r="K26" i="1"/>
  <c r="F6" i="12" l="1"/>
  <c r="J24" i="6"/>
  <c r="H24" i="6"/>
  <c r="F24" i="6"/>
  <c r="P24" i="6" s="1"/>
  <c r="D24" i="6"/>
  <c r="N24" i="6" l="1"/>
  <c r="D14" i="12"/>
  <c r="K19" i="9" l="1"/>
  <c r="J19" i="9" s="1"/>
  <c r="U19" i="9"/>
  <c r="Y19" i="9" s="1"/>
  <c r="Q19" i="9"/>
  <c r="P19" i="9" s="1"/>
  <c r="C2" i="12"/>
  <c r="H30" i="6"/>
  <c r="J30" i="6"/>
  <c r="X19" i="9" l="1"/>
  <c r="AC19" i="9"/>
  <c r="C14" i="12"/>
  <c r="F14" i="12" s="1"/>
  <c r="G14" i="12" s="1"/>
  <c r="T19" i="9"/>
  <c r="M43" i="1"/>
  <c r="AB19" i="9" l="1"/>
  <c r="AG19" i="9"/>
  <c r="AF19" i="9" s="1"/>
  <c r="K9" i="7"/>
  <c r="K11" i="7"/>
  <c r="K43" i="1" l="1"/>
  <c r="I44" i="1"/>
  <c r="K35" i="1" l="1"/>
  <c r="H31" i="6" s="1"/>
  <c r="K13" i="1"/>
  <c r="K8" i="1"/>
  <c r="I10" i="7" l="1"/>
  <c r="E9" i="7"/>
  <c r="M35" i="1"/>
  <c r="M21" i="1"/>
  <c r="M8" i="1"/>
  <c r="K25" i="1" l="1"/>
  <c r="K28" i="1" s="1"/>
  <c r="I25" i="1"/>
  <c r="I28" i="1" s="1"/>
  <c r="G25" i="1"/>
  <c r="E25" i="1"/>
  <c r="E28" i="1" s="1"/>
  <c r="C25" i="1"/>
  <c r="G20" i="1"/>
  <c r="G28" i="1" s="1"/>
  <c r="C20" i="1"/>
  <c r="K17" i="1"/>
  <c r="I17" i="1"/>
  <c r="G17" i="1"/>
  <c r="E17" i="1"/>
  <c r="C17" i="1"/>
  <c r="I14" i="1"/>
  <c r="C14" i="1"/>
  <c r="G10" i="1"/>
  <c r="K14" i="1"/>
  <c r="G8" i="1"/>
  <c r="E8" i="1"/>
  <c r="E14" i="1" s="1"/>
  <c r="C44" i="1"/>
  <c r="I43" i="1"/>
  <c r="G43" i="1"/>
  <c r="F15" i="9"/>
  <c r="E15" i="9"/>
  <c r="D15" i="9"/>
  <c r="C15" i="9"/>
  <c r="C23" i="9" l="1"/>
  <c r="G14" i="1"/>
  <c r="F17" i="9"/>
  <c r="E17" i="9"/>
  <c r="D17" i="9"/>
  <c r="C17" i="9"/>
  <c r="I32" i="7" l="1"/>
  <c r="C4" i="9" l="1"/>
  <c r="K30" i="1" l="1"/>
  <c r="L26" i="1" s="1"/>
  <c r="E30" i="1"/>
  <c r="F26" i="1" s="1"/>
  <c r="G30" i="1"/>
  <c r="H26" i="1" s="1"/>
  <c r="I30" i="1"/>
  <c r="J26" i="1" s="1"/>
  <c r="H19" i="1" l="1"/>
  <c r="H18" i="1"/>
  <c r="H15" i="1"/>
  <c r="H24" i="1"/>
  <c r="H22" i="1"/>
  <c r="H12" i="1"/>
  <c r="H27" i="1"/>
  <c r="H16" i="1"/>
  <c r="H23" i="1"/>
  <c r="H21" i="1"/>
  <c r="H13" i="1"/>
  <c r="H11" i="1"/>
  <c r="H25" i="1"/>
  <c r="H9" i="1"/>
  <c r="H14" i="1"/>
  <c r="H8" i="1"/>
  <c r="H17" i="1"/>
  <c r="H10" i="1"/>
  <c r="H20" i="1"/>
  <c r="J27" i="1"/>
  <c r="J16" i="1"/>
  <c r="J15" i="1"/>
  <c r="J13" i="1"/>
  <c r="J11" i="1"/>
  <c r="J9" i="1"/>
  <c r="J19" i="1"/>
  <c r="J18" i="1"/>
  <c r="J8" i="1"/>
  <c r="J24" i="1"/>
  <c r="J23" i="1"/>
  <c r="J22" i="1"/>
  <c r="J21" i="1"/>
  <c r="J20" i="1"/>
  <c r="J12" i="1"/>
  <c r="J10" i="1"/>
  <c r="J25" i="1"/>
  <c r="J14" i="1"/>
  <c r="J17" i="1"/>
  <c r="F20" i="1"/>
  <c r="F10" i="1"/>
  <c r="F9" i="1"/>
  <c r="F15" i="1"/>
  <c r="F23" i="1"/>
  <c r="F21" i="1"/>
  <c r="F12" i="1"/>
  <c r="F19" i="1"/>
  <c r="F18" i="1"/>
  <c r="F27" i="1"/>
  <c r="F16" i="1"/>
  <c r="F24" i="1"/>
  <c r="F22" i="1"/>
  <c r="F13" i="1"/>
  <c r="F11" i="1"/>
  <c r="F17" i="1"/>
  <c r="F8" i="1"/>
  <c r="F14" i="1"/>
  <c r="F25" i="1"/>
  <c r="F28" i="1"/>
  <c r="J30" i="1"/>
  <c r="J29" i="1"/>
  <c r="H29" i="1"/>
  <c r="H30" i="1"/>
  <c r="H28" i="1"/>
  <c r="C30" i="1"/>
  <c r="D26" i="1" s="1"/>
  <c r="J28" i="1"/>
  <c r="F30" i="1"/>
  <c r="F29" i="1"/>
  <c r="D24" i="1" l="1"/>
  <c r="D23" i="1"/>
  <c r="D22" i="1"/>
  <c r="D21" i="1"/>
  <c r="D13" i="1"/>
  <c r="D12" i="1"/>
  <c r="D11" i="1"/>
  <c r="D8" i="1"/>
  <c r="D10" i="1"/>
  <c r="D19" i="1"/>
  <c r="D18" i="1"/>
  <c r="D27" i="1"/>
  <c r="D25" i="1"/>
  <c r="D16" i="1"/>
  <c r="D14" i="1"/>
  <c r="D9" i="1"/>
  <c r="D15" i="1"/>
  <c r="D20" i="1"/>
  <c r="D17" i="1"/>
  <c r="D30" i="1"/>
  <c r="D29" i="1"/>
  <c r="D28" i="1"/>
  <c r="M25" i="1" l="1"/>
  <c r="M28" i="1" s="1"/>
  <c r="C31" i="7" l="1"/>
  <c r="C4" i="1"/>
  <c r="K36" i="1"/>
  <c r="K37" i="1" s="1"/>
  <c r="K38" i="1" s="1"/>
  <c r="I36" i="1"/>
  <c r="G36" i="1"/>
  <c r="G37" i="1" s="1"/>
  <c r="E36" i="1"/>
  <c r="E37" i="1" s="1"/>
  <c r="C36" i="1"/>
  <c r="E20" i="7"/>
  <c r="C29" i="7"/>
  <c r="AE15" i="9"/>
  <c r="AE17" i="9" s="1"/>
  <c r="AA15" i="9"/>
  <c r="AA17" i="9" s="1"/>
  <c r="W15" i="9"/>
  <c r="W17" i="9" s="1"/>
  <c r="S15" i="9"/>
  <c r="S17" i="9" s="1"/>
  <c r="O15" i="9"/>
  <c r="O17" i="9" s="1"/>
  <c r="K53" i="1"/>
  <c r="K10" i="9"/>
  <c r="K12" i="9"/>
  <c r="K14" i="9"/>
  <c r="K16" i="9"/>
  <c r="D33" i="9"/>
  <c r="G67" i="1" s="1"/>
  <c r="G15" i="9"/>
  <c r="G17" i="9" s="1"/>
  <c r="S46" i="1"/>
  <c r="C46" i="1"/>
  <c r="B2" i="8"/>
  <c r="C12" i="7"/>
  <c r="E8" i="7" s="1"/>
  <c r="E12" i="7" s="1"/>
  <c r="G8" i="7" s="1"/>
  <c r="E29" i="7"/>
  <c r="E21" i="7"/>
  <c r="E32" i="7"/>
  <c r="E34" i="7"/>
  <c r="G29" i="7"/>
  <c r="G21" i="7"/>
  <c r="G20" i="7"/>
  <c r="G32" i="7"/>
  <c r="G34" i="7"/>
  <c r="I29" i="7"/>
  <c r="I21" i="7"/>
  <c r="I20" i="7"/>
  <c r="I34" i="7"/>
  <c r="K29" i="7"/>
  <c r="K21" i="7"/>
  <c r="K20" i="7"/>
  <c r="K32" i="7"/>
  <c r="K34" i="7"/>
  <c r="M29" i="7"/>
  <c r="M20" i="7"/>
  <c r="M21" i="7"/>
  <c r="K6" i="7"/>
  <c r="C26" i="7" s="1"/>
  <c r="S3" i="1"/>
  <c r="M54" i="1"/>
  <c r="M52" i="1"/>
  <c r="M50" i="1"/>
  <c r="M51" i="1"/>
  <c r="K54" i="1"/>
  <c r="K52" i="1"/>
  <c r="K51" i="1"/>
  <c r="K50" i="1"/>
  <c r="I54" i="1"/>
  <c r="I52" i="1"/>
  <c r="I51" i="1"/>
  <c r="I50" i="1"/>
  <c r="J50" i="1" s="1"/>
  <c r="G54" i="1"/>
  <c r="G52" i="1"/>
  <c r="G51" i="1"/>
  <c r="G53" i="1"/>
  <c r="G50" i="1"/>
  <c r="E54" i="1"/>
  <c r="E52" i="1"/>
  <c r="E51" i="1"/>
  <c r="E50" i="1"/>
  <c r="E1" i="9"/>
  <c r="K5" i="5"/>
  <c r="I5" i="5"/>
  <c r="G5" i="5"/>
  <c r="E5" i="5"/>
  <c r="C5" i="5"/>
  <c r="F2" i="5"/>
  <c r="O5" i="4"/>
  <c r="L5" i="4"/>
  <c r="I5" i="4"/>
  <c r="F5" i="4"/>
  <c r="C5" i="4"/>
  <c r="G2" i="4"/>
  <c r="E18" i="7"/>
  <c r="K18" i="7" s="1"/>
  <c r="I6" i="7"/>
  <c r="G6" i="7"/>
  <c r="E6" i="7"/>
  <c r="C6" i="7"/>
  <c r="L3" i="6"/>
  <c r="J3" i="6"/>
  <c r="H3" i="6"/>
  <c r="F3" i="6"/>
  <c r="D3" i="6"/>
  <c r="H1" i="6"/>
  <c r="AA4" i="1"/>
  <c r="AA47" i="1" s="1"/>
  <c r="Y4" i="1"/>
  <c r="Y47" i="1" s="1"/>
  <c r="W4" i="1"/>
  <c r="W47" i="1" s="1"/>
  <c r="U4" i="1"/>
  <c r="U47" i="1" s="1"/>
  <c r="S4" i="1"/>
  <c r="S47" i="1" s="1"/>
  <c r="G2" i="1"/>
  <c r="O4" i="1"/>
  <c r="O47" i="1" s="1"/>
  <c r="M4" i="1"/>
  <c r="M47" i="1" s="1"/>
  <c r="K4" i="1"/>
  <c r="K47" i="1" s="1"/>
  <c r="I4" i="1"/>
  <c r="I47" i="1" s="1"/>
  <c r="G4" i="1"/>
  <c r="G47" i="1" s="1"/>
  <c r="E4" i="1"/>
  <c r="E47" i="1" s="1"/>
  <c r="K6" i="9"/>
  <c r="W6" i="9" s="1"/>
  <c r="G6" i="9"/>
  <c r="F6" i="9"/>
  <c r="E6" i="9"/>
  <c r="D6" i="9"/>
  <c r="C6" i="9"/>
  <c r="O36" i="1"/>
  <c r="C35" i="5" s="1"/>
  <c r="E35" i="5" s="1"/>
  <c r="O25" i="1"/>
  <c r="C23" i="5" s="1"/>
  <c r="S23" i="1" s="1"/>
  <c r="O17" i="1"/>
  <c r="O14" i="1"/>
  <c r="M36" i="1"/>
  <c r="M37" i="1" s="1"/>
  <c r="M14" i="1"/>
  <c r="M17" i="1"/>
  <c r="J15" i="6" s="1"/>
  <c r="F10" i="10"/>
  <c r="F15" i="10"/>
  <c r="F14" i="10"/>
  <c r="F13" i="10"/>
  <c r="F12" i="10"/>
  <c r="F11" i="10"/>
  <c r="I15" i="9"/>
  <c r="I17" i="9" s="1"/>
  <c r="C18" i="5"/>
  <c r="E18" i="5" s="1"/>
  <c r="G18" i="5" s="1"/>
  <c r="C19" i="5"/>
  <c r="C22" i="5"/>
  <c r="E22" i="5" s="1"/>
  <c r="G22" i="5" s="1"/>
  <c r="C24" i="5"/>
  <c r="S24" i="1" s="1"/>
  <c r="E24" i="5"/>
  <c r="E36" i="5" s="1"/>
  <c r="U36" i="1" s="1"/>
  <c r="G24" i="5"/>
  <c r="W24" i="1" s="1"/>
  <c r="I24" i="5"/>
  <c r="Y24" i="1" s="1"/>
  <c r="K24" i="5"/>
  <c r="AA24" i="1" s="1"/>
  <c r="C27" i="5"/>
  <c r="K21" i="5"/>
  <c r="AA21" i="1" s="1"/>
  <c r="C8" i="5"/>
  <c r="C9" i="5"/>
  <c r="E9" i="5" s="1"/>
  <c r="G9" i="5" s="1"/>
  <c r="C10" i="5"/>
  <c r="E10" i="5" s="1"/>
  <c r="G10" i="5" s="1"/>
  <c r="I10" i="5" s="1"/>
  <c r="C11" i="5"/>
  <c r="C12" i="5"/>
  <c r="E12" i="5" s="1"/>
  <c r="G12" i="5" s="1"/>
  <c r="C13" i="5"/>
  <c r="E13" i="5" s="1"/>
  <c r="G13" i="5" s="1"/>
  <c r="C15" i="5"/>
  <c r="S15" i="1" s="1"/>
  <c r="C16" i="5"/>
  <c r="E16" i="5" s="1"/>
  <c r="G16" i="5" s="1"/>
  <c r="W16" i="1" s="1"/>
  <c r="C29" i="5"/>
  <c r="E29" i="5" s="1"/>
  <c r="C34" i="5"/>
  <c r="I21" i="5"/>
  <c r="Y21" i="1" s="1"/>
  <c r="G21" i="5"/>
  <c r="W21" i="1" s="1"/>
  <c r="E21" i="5"/>
  <c r="U21" i="1" s="1"/>
  <c r="S44" i="1"/>
  <c r="C21" i="5"/>
  <c r="S21" i="1" s="1"/>
  <c r="C36" i="5"/>
  <c r="U44" i="1"/>
  <c r="W44" i="1"/>
  <c r="Y44" i="1"/>
  <c r="AA44" i="1"/>
  <c r="E53" i="1"/>
  <c r="M69" i="1"/>
  <c r="F23" i="9"/>
  <c r="K58" i="1" s="1"/>
  <c r="D24" i="9"/>
  <c r="G59" i="1" s="1"/>
  <c r="D27" i="9"/>
  <c r="G62" i="1" s="1"/>
  <c r="D23" i="9"/>
  <c r="G58" i="1" s="1"/>
  <c r="C24" i="9"/>
  <c r="E59" i="1" s="1"/>
  <c r="C27" i="9"/>
  <c r="E62" i="1" s="1"/>
  <c r="E58" i="1"/>
  <c r="F30" i="6"/>
  <c r="N30" i="6" s="1"/>
  <c r="F7" i="6"/>
  <c r="F8" i="6"/>
  <c r="P8" i="6" s="1"/>
  <c r="F9" i="6"/>
  <c r="N9" i="6" s="1"/>
  <c r="F10" i="6"/>
  <c r="N10" i="6" s="1"/>
  <c r="F11" i="6"/>
  <c r="P11" i="6" s="1"/>
  <c r="F12" i="6"/>
  <c r="F13" i="6"/>
  <c r="N13" i="6" s="1"/>
  <c r="F14" i="6"/>
  <c r="N14" i="6" s="1"/>
  <c r="F15" i="6"/>
  <c r="P15" i="6" s="1"/>
  <c r="F16" i="6"/>
  <c r="P16" i="6" s="1"/>
  <c r="F17" i="6"/>
  <c r="N17" i="6" s="1"/>
  <c r="F18" i="6"/>
  <c r="N18" i="6" s="1"/>
  <c r="F19" i="6"/>
  <c r="N19" i="6" s="1"/>
  <c r="F20" i="6"/>
  <c r="F21" i="6"/>
  <c r="P21" i="6" s="1"/>
  <c r="F22" i="6"/>
  <c r="N22" i="6" s="1"/>
  <c r="F23" i="6"/>
  <c r="F25" i="6"/>
  <c r="P25" i="6" s="1"/>
  <c r="F27" i="6"/>
  <c r="N27" i="6" s="1"/>
  <c r="F6" i="6"/>
  <c r="P6" i="6" s="1"/>
  <c r="L30" i="6"/>
  <c r="L7" i="6"/>
  <c r="L8" i="6"/>
  <c r="L9" i="6"/>
  <c r="L10" i="6"/>
  <c r="L11" i="6"/>
  <c r="L13" i="6"/>
  <c r="L14" i="6"/>
  <c r="L16" i="6"/>
  <c r="L17" i="6"/>
  <c r="L18" i="6"/>
  <c r="L19" i="6"/>
  <c r="L20" i="6"/>
  <c r="L21" i="6"/>
  <c r="L22" i="6"/>
  <c r="L25" i="6"/>
  <c r="L27" i="6"/>
  <c r="L6" i="6"/>
  <c r="J7" i="6"/>
  <c r="J8" i="6"/>
  <c r="J9" i="6"/>
  <c r="J10" i="6"/>
  <c r="J11" i="6"/>
  <c r="J13" i="6"/>
  <c r="J14" i="6"/>
  <c r="J16" i="6"/>
  <c r="J17" i="6"/>
  <c r="J18" i="6"/>
  <c r="J19" i="6"/>
  <c r="J20" i="6"/>
  <c r="J21" i="6"/>
  <c r="J22" i="6"/>
  <c r="J23" i="6"/>
  <c r="J25" i="6"/>
  <c r="J27" i="6"/>
  <c r="J6" i="6"/>
  <c r="H7" i="6"/>
  <c r="H8" i="6"/>
  <c r="H9" i="6"/>
  <c r="H10" i="6"/>
  <c r="H11" i="6"/>
  <c r="H13" i="6"/>
  <c r="H14" i="6"/>
  <c r="H15" i="6"/>
  <c r="H16" i="6"/>
  <c r="H17" i="6"/>
  <c r="H18" i="6"/>
  <c r="H19" i="6"/>
  <c r="H20" i="6"/>
  <c r="H21" i="6"/>
  <c r="H22" i="6"/>
  <c r="H23" i="6"/>
  <c r="H25" i="6"/>
  <c r="H27" i="6"/>
  <c r="H6" i="6"/>
  <c r="D31" i="6"/>
  <c r="D3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5" i="6"/>
  <c r="D27" i="6"/>
  <c r="D7" i="6"/>
  <c r="D6" i="6"/>
  <c r="AM14" i="1"/>
  <c r="AM17" i="1"/>
  <c r="AM25" i="1"/>
  <c r="AM28" i="1" s="1"/>
  <c r="AM36" i="1"/>
  <c r="AM37" i="1" s="1"/>
  <c r="AM38" i="1" s="1"/>
  <c r="AN35" i="1" s="1"/>
  <c r="AK14" i="1"/>
  <c r="AK17" i="1"/>
  <c r="AK25" i="1"/>
  <c r="AK28" i="1" s="1"/>
  <c r="AK36" i="1"/>
  <c r="AK37" i="1" s="1"/>
  <c r="AK38" i="1" s="1"/>
  <c r="AI14" i="1"/>
  <c r="AI17" i="1"/>
  <c r="AI25" i="1"/>
  <c r="AI28" i="1" s="1"/>
  <c r="AI36" i="1"/>
  <c r="AI37" i="1" s="1"/>
  <c r="AI38" i="1" s="1"/>
  <c r="AG14" i="1"/>
  <c r="AG17" i="1"/>
  <c r="AG25" i="1"/>
  <c r="AG28" i="1" s="1"/>
  <c r="AG36" i="1"/>
  <c r="AG37" i="1" s="1"/>
  <c r="AE14" i="1"/>
  <c r="AE17" i="1"/>
  <c r="AE25" i="1"/>
  <c r="AE28" i="1" s="1"/>
  <c r="AE36" i="1"/>
  <c r="AC14" i="1"/>
  <c r="AC17" i="1"/>
  <c r="AC25" i="1"/>
  <c r="AC28" i="1" s="1"/>
  <c r="AC36" i="1"/>
  <c r="M32" i="7"/>
  <c r="M34" i="7"/>
  <c r="A3" i="1"/>
  <c r="A2" i="6"/>
  <c r="A3" i="7"/>
  <c r="A3" i="4"/>
  <c r="A3" i="5"/>
  <c r="E55" i="1"/>
  <c r="C32" i="9"/>
  <c r="E66" i="1" s="1"/>
  <c r="C33" i="9"/>
  <c r="E67" i="1" s="1"/>
  <c r="C36" i="9"/>
  <c r="E70" i="1" s="1"/>
  <c r="I36" i="5" l="1"/>
  <c r="Y36" i="1" s="1"/>
  <c r="O37" i="1"/>
  <c r="O38" i="1" s="1"/>
  <c r="P36" i="1" s="1"/>
  <c r="Q10" i="9"/>
  <c r="S50" i="1" s="1"/>
  <c r="C6" i="12"/>
  <c r="G6" i="12" s="1"/>
  <c r="N52" i="1"/>
  <c r="Q16" i="9"/>
  <c r="U16" i="9" s="1"/>
  <c r="Y16" i="9" s="1"/>
  <c r="C12" i="12"/>
  <c r="F12" i="12" s="1"/>
  <c r="G12" i="12" s="1"/>
  <c r="Q14" i="9"/>
  <c r="U14" i="9" s="1"/>
  <c r="Y14" i="9" s="1"/>
  <c r="AC14" i="9" s="1"/>
  <c r="AG14" i="9" s="1"/>
  <c r="AF14" i="9" s="1"/>
  <c r="C10" i="12"/>
  <c r="F10" i="12" s="1"/>
  <c r="G10" i="12" s="1"/>
  <c r="Q12" i="9"/>
  <c r="U12" i="9" s="1"/>
  <c r="Y12" i="9" s="1"/>
  <c r="AC12" i="9" s="1"/>
  <c r="AG12" i="9" s="1"/>
  <c r="AA51" i="1" s="1"/>
  <c r="C8" i="12"/>
  <c r="F8" i="12" s="1"/>
  <c r="G8" i="12" s="1"/>
  <c r="S6" i="9"/>
  <c r="J12" i="9"/>
  <c r="J10" i="9"/>
  <c r="N21" i="6"/>
  <c r="G23" i="9"/>
  <c r="M58" i="1" s="1"/>
  <c r="G36" i="9"/>
  <c r="M70" i="1" s="1"/>
  <c r="L23" i="6"/>
  <c r="U22" i="1"/>
  <c r="O54" i="1"/>
  <c r="P54" i="1" s="1"/>
  <c r="J16" i="9"/>
  <c r="AB14" i="9"/>
  <c r="H54" i="1"/>
  <c r="J14" i="9"/>
  <c r="Y52" i="1"/>
  <c r="G32" i="9"/>
  <c r="M66" i="1" s="1"/>
  <c r="G27" i="9"/>
  <c r="M62" i="1" s="1"/>
  <c r="M53" i="1"/>
  <c r="N53" i="1" s="1"/>
  <c r="AA6" i="9"/>
  <c r="O6" i="9"/>
  <c r="F27" i="9"/>
  <c r="K62" i="1" s="1"/>
  <c r="O51" i="1"/>
  <c r="P51" i="1" s="1"/>
  <c r="S22" i="1"/>
  <c r="AE6" i="9"/>
  <c r="C37" i="1"/>
  <c r="C38" i="1" s="1"/>
  <c r="P9" i="6"/>
  <c r="K55" i="1"/>
  <c r="S54" i="1"/>
  <c r="S16" i="1"/>
  <c r="S17" i="1" s="1"/>
  <c r="U16" i="1"/>
  <c r="G36" i="5"/>
  <c r="W36" i="1" s="1"/>
  <c r="H52" i="1"/>
  <c r="O52" i="1"/>
  <c r="P52" i="1" s="1"/>
  <c r="X14" i="9"/>
  <c r="G12" i="7"/>
  <c r="I8" i="7" s="1"/>
  <c r="K36" i="5"/>
  <c r="AA36" i="1" s="1"/>
  <c r="L15" i="6"/>
  <c r="G18" i="7"/>
  <c r="N11" i="6"/>
  <c r="P19" i="6"/>
  <c r="K17" i="9"/>
  <c r="J54" i="1"/>
  <c r="G55" i="1"/>
  <c r="H55" i="1" s="1"/>
  <c r="D32" i="9"/>
  <c r="G66" i="1" s="1"/>
  <c r="D36" i="9"/>
  <c r="G70" i="1" s="1"/>
  <c r="H51" i="1"/>
  <c r="L54" i="1"/>
  <c r="I53" i="1"/>
  <c r="J53" i="1" s="1"/>
  <c r="E36" i="9"/>
  <c r="I70" i="1" s="1"/>
  <c r="I55" i="1"/>
  <c r="E32" i="9"/>
  <c r="I66" i="1" s="1"/>
  <c r="E33" i="9"/>
  <c r="I67" i="1" s="1"/>
  <c r="E23" i="9"/>
  <c r="I58" i="1" s="1"/>
  <c r="E27" i="9"/>
  <c r="I62" i="1" s="1"/>
  <c r="L50" i="1"/>
  <c r="E24" i="9"/>
  <c r="I59" i="1" s="1"/>
  <c r="N54" i="1"/>
  <c r="F36" i="9"/>
  <c r="K70" i="1" s="1"/>
  <c r="F32" i="9"/>
  <c r="K66" i="1" s="1"/>
  <c r="P16" i="9"/>
  <c r="P10" i="9"/>
  <c r="O50" i="1"/>
  <c r="T50" i="1" s="1"/>
  <c r="K15" i="9"/>
  <c r="K24" i="9" s="1"/>
  <c r="O59" i="1" s="1"/>
  <c r="C37" i="5"/>
  <c r="S37" i="1" s="1"/>
  <c r="S35" i="1"/>
  <c r="L12" i="6"/>
  <c r="G24" i="9"/>
  <c r="M59" i="1" s="1"/>
  <c r="N6" i="6"/>
  <c r="G33" i="9"/>
  <c r="M67" i="1" s="1"/>
  <c r="J51" i="1"/>
  <c r="AM30" i="1"/>
  <c r="AN19" i="1" s="1"/>
  <c r="N15" i="6"/>
  <c r="H53" i="1"/>
  <c r="H50" i="1"/>
  <c r="J52" i="1"/>
  <c r="L52" i="1"/>
  <c r="AN37" i="1"/>
  <c r="P37" i="1"/>
  <c r="P13" i="6"/>
  <c r="N8" i="6"/>
  <c r="U13" i="1"/>
  <c r="N16" i="6"/>
  <c r="P17" i="6"/>
  <c r="S13" i="1"/>
  <c r="U9" i="1"/>
  <c r="E8" i="5"/>
  <c r="S8" i="1"/>
  <c r="C14" i="5"/>
  <c r="M38" i="1"/>
  <c r="J34" i="6" s="1"/>
  <c r="J33" i="6"/>
  <c r="L51" i="1"/>
  <c r="N51" i="1"/>
  <c r="N50" i="1"/>
  <c r="E38" i="1"/>
  <c r="D33" i="6"/>
  <c r="F31" i="6"/>
  <c r="I37" i="1"/>
  <c r="F24" i="9"/>
  <c r="K59" i="1" s="1"/>
  <c r="H12" i="6"/>
  <c r="J12" i="6"/>
  <c r="J31" i="6"/>
  <c r="L31" i="6"/>
  <c r="AL38" i="1"/>
  <c r="AL35" i="1"/>
  <c r="P7" i="6"/>
  <c r="N7" i="6"/>
  <c r="P12" i="6"/>
  <c r="N12" i="6"/>
  <c r="P35" i="1"/>
  <c r="P34" i="1"/>
  <c r="E11" i="5"/>
  <c r="S11" i="1"/>
  <c r="AN29" i="1"/>
  <c r="AN9" i="1"/>
  <c r="AC37" i="1"/>
  <c r="AC38" i="1" s="1"/>
  <c r="AD38" i="1" s="1"/>
  <c r="AE30" i="1"/>
  <c r="AF17" i="1" s="1"/>
  <c r="AN36" i="1"/>
  <c r="AN34" i="1"/>
  <c r="P23" i="6"/>
  <c r="N23" i="6"/>
  <c r="P20" i="6"/>
  <c r="N20" i="6"/>
  <c r="E15" i="5"/>
  <c r="G15" i="5" s="1"/>
  <c r="I15" i="5" s="1"/>
  <c r="K15" i="5" s="1"/>
  <c r="AA15" i="1" s="1"/>
  <c r="C17" i="5"/>
  <c r="E19" i="5"/>
  <c r="S19" i="1"/>
  <c r="M30" i="1"/>
  <c r="N28" i="1" s="1"/>
  <c r="G38" i="1"/>
  <c r="AE37" i="1"/>
  <c r="E34" i="5"/>
  <c r="G34" i="5" s="1"/>
  <c r="I34" i="5" s="1"/>
  <c r="S34" i="1"/>
  <c r="E27" i="5"/>
  <c r="S27" i="1"/>
  <c r="D23" i="6"/>
  <c r="S25" i="1"/>
  <c r="J26" i="6"/>
  <c r="AK30" i="1"/>
  <c r="AL24" i="1" s="1"/>
  <c r="AL36" i="1"/>
  <c r="S29" i="1"/>
  <c r="AC30" i="1"/>
  <c r="AD24" i="1" s="1"/>
  <c r="L9" i="1"/>
  <c r="G35" i="5"/>
  <c r="U35" i="1"/>
  <c r="S10" i="1"/>
  <c r="U12" i="1"/>
  <c r="C25" i="5"/>
  <c r="N25" i="6"/>
  <c r="P27" i="6"/>
  <c r="P22" i="6"/>
  <c r="P18" i="6"/>
  <c r="P14" i="6"/>
  <c r="P10" i="6"/>
  <c r="P30" i="6"/>
  <c r="S36" i="1"/>
  <c r="S9" i="1"/>
  <c r="S12" i="1"/>
  <c r="S18" i="1"/>
  <c r="U10" i="1"/>
  <c r="F37" i="9"/>
  <c r="K71" i="1" s="1"/>
  <c r="L34" i="1"/>
  <c r="L37" i="1"/>
  <c r="F28" i="9"/>
  <c r="K63" i="1" s="1"/>
  <c r="L36" i="1"/>
  <c r="L38" i="1"/>
  <c r="L35" i="1"/>
  <c r="H26" i="6"/>
  <c r="F33" i="9"/>
  <c r="K67" i="1" s="1"/>
  <c r="AJ38" i="1"/>
  <c r="AJ36" i="1"/>
  <c r="AJ34" i="1"/>
  <c r="AJ37" i="1"/>
  <c r="AJ35" i="1"/>
  <c r="AG38" i="1"/>
  <c r="AH37" i="1" s="1"/>
  <c r="AI30" i="1"/>
  <c r="I18" i="5"/>
  <c r="W18" i="1"/>
  <c r="AL37" i="1"/>
  <c r="AG30" i="1"/>
  <c r="AF28" i="1"/>
  <c r="G29" i="5"/>
  <c r="U29" i="1"/>
  <c r="I22" i="5"/>
  <c r="W22" i="1"/>
  <c r="AL34" i="1"/>
  <c r="I12" i="5"/>
  <c r="W12" i="1"/>
  <c r="Y10" i="1"/>
  <c r="K10" i="5"/>
  <c r="M55" i="1"/>
  <c r="I16" i="5"/>
  <c r="U10" i="9"/>
  <c r="E37" i="5"/>
  <c r="U24" i="1"/>
  <c r="U18" i="1"/>
  <c r="W10" i="1"/>
  <c r="I13" i="5"/>
  <c r="W13" i="1"/>
  <c r="I9" i="5"/>
  <c r="W9" i="1"/>
  <c r="G26" i="7"/>
  <c r="M26" i="7"/>
  <c r="E26" i="7"/>
  <c r="K26" i="7"/>
  <c r="I26" i="7"/>
  <c r="M18" i="7"/>
  <c r="I18" i="7"/>
  <c r="AD34" i="1" l="1"/>
  <c r="AD27" i="1"/>
  <c r="L33" i="6"/>
  <c r="P38" i="1"/>
  <c r="T54" i="1"/>
  <c r="AL10" i="1"/>
  <c r="AF25" i="1"/>
  <c r="G37" i="5"/>
  <c r="AD15" i="1"/>
  <c r="AA52" i="1"/>
  <c r="P12" i="9"/>
  <c r="S52" i="1"/>
  <c r="T52" i="1" s="1"/>
  <c r="AB12" i="9"/>
  <c r="Q15" i="9"/>
  <c r="Q17" i="9" s="1"/>
  <c r="AF12" i="9"/>
  <c r="S51" i="1"/>
  <c r="T51" i="1" s="1"/>
  <c r="P14" i="9"/>
  <c r="X12" i="9"/>
  <c r="T12" i="9"/>
  <c r="W51" i="1"/>
  <c r="T14" i="9"/>
  <c r="W52" i="1"/>
  <c r="Z52" i="1" s="1"/>
  <c r="U51" i="1"/>
  <c r="Y51" i="1"/>
  <c r="U52" i="1"/>
  <c r="AF14" i="1"/>
  <c r="D35" i="1"/>
  <c r="D34" i="1"/>
  <c r="H34" i="1"/>
  <c r="H35" i="1"/>
  <c r="F34" i="1"/>
  <c r="F35" i="1"/>
  <c r="L53" i="1"/>
  <c r="C40" i="1"/>
  <c r="C45" i="1" s="1"/>
  <c r="E42" i="1" s="1"/>
  <c r="I12" i="7"/>
  <c r="K8" i="7" s="1"/>
  <c r="K12" i="7" s="1"/>
  <c r="C28" i="7" s="1"/>
  <c r="C30" i="7" s="1"/>
  <c r="C36" i="7" s="1"/>
  <c r="E28" i="7" s="1"/>
  <c r="E30" i="7" s="1"/>
  <c r="D37" i="1"/>
  <c r="K36" i="9"/>
  <c r="O70" i="1" s="1"/>
  <c r="H37" i="1"/>
  <c r="N55" i="1"/>
  <c r="E17" i="5"/>
  <c r="C38" i="5"/>
  <c r="D35" i="5" s="1"/>
  <c r="AH36" i="1"/>
  <c r="AN10" i="1"/>
  <c r="AN17" i="1"/>
  <c r="AM40" i="1"/>
  <c r="AN11" i="1"/>
  <c r="AN25" i="1"/>
  <c r="AN28" i="1"/>
  <c r="P50" i="1"/>
  <c r="U54" i="1"/>
  <c r="V54" i="1" s="1"/>
  <c r="T16" i="9"/>
  <c r="J17" i="9"/>
  <c r="AL9" i="1"/>
  <c r="AL18" i="1"/>
  <c r="AD23" i="1"/>
  <c r="O55" i="1"/>
  <c r="P55" i="1" s="1"/>
  <c r="AL17" i="1"/>
  <c r="AL27" i="1"/>
  <c r="AD10" i="1"/>
  <c r="L8" i="1"/>
  <c r="K32" i="9"/>
  <c r="O66" i="1" s="1"/>
  <c r="K37" i="9"/>
  <c r="O71" i="1" s="1"/>
  <c r="AL25" i="1"/>
  <c r="AD18" i="1"/>
  <c r="K33" i="9"/>
  <c r="O67" i="1" s="1"/>
  <c r="J55" i="1"/>
  <c r="L55" i="1"/>
  <c r="O53" i="1"/>
  <c r="P53" i="1" s="1"/>
  <c r="K27" i="9"/>
  <c r="O62" i="1" s="1"/>
  <c r="J15" i="9"/>
  <c r="K23" i="9"/>
  <c r="O58" i="1" s="1"/>
  <c r="K28" i="9"/>
  <c r="O63" i="1" s="1"/>
  <c r="K40" i="1"/>
  <c r="AN22" i="1"/>
  <c r="AN16" i="1"/>
  <c r="AN12" i="1"/>
  <c r="AN24" i="1"/>
  <c r="AN8" i="1"/>
  <c r="AD37" i="1"/>
  <c r="AN20" i="1"/>
  <c r="AN18" i="1"/>
  <c r="AN13" i="1"/>
  <c r="AN21" i="1"/>
  <c r="AN27" i="1"/>
  <c r="AN14" i="1"/>
  <c r="AN15" i="1"/>
  <c r="AN23" i="1"/>
  <c r="AN30" i="1"/>
  <c r="W15" i="1"/>
  <c r="W17" i="1" s="1"/>
  <c r="Y15" i="1"/>
  <c r="L20" i="1"/>
  <c r="G17" i="5"/>
  <c r="W34" i="1"/>
  <c r="U15" i="1"/>
  <c r="U17" i="1" s="1"/>
  <c r="L29" i="1"/>
  <c r="L14" i="1"/>
  <c r="L24" i="1"/>
  <c r="U34" i="1"/>
  <c r="G27" i="5"/>
  <c r="U27" i="1"/>
  <c r="G11" i="5"/>
  <c r="U11" i="1"/>
  <c r="M40" i="1"/>
  <c r="N34" i="1"/>
  <c r="N36" i="1"/>
  <c r="G28" i="9"/>
  <c r="M63" i="1" s="1"/>
  <c r="G37" i="9"/>
  <c r="M71" i="1" s="1"/>
  <c r="N35" i="1"/>
  <c r="L34" i="6"/>
  <c r="AL28" i="1"/>
  <c r="AL20" i="1"/>
  <c r="AD17" i="1"/>
  <c r="AD25" i="1"/>
  <c r="AD20" i="1"/>
  <c r="AD29" i="1"/>
  <c r="L25" i="1"/>
  <c r="L21" i="1"/>
  <c r="J28" i="6"/>
  <c r="L22" i="1"/>
  <c r="E14" i="5"/>
  <c r="D26" i="6"/>
  <c r="F26" i="6"/>
  <c r="AE38" i="1"/>
  <c r="G19" i="5"/>
  <c r="U19" i="1"/>
  <c r="AD36" i="1"/>
  <c r="N37" i="1"/>
  <c r="C28" i="9"/>
  <c r="E63" i="1" s="1"/>
  <c r="F36" i="1"/>
  <c r="F38" i="1"/>
  <c r="D34" i="6"/>
  <c r="P34" i="6" s="1"/>
  <c r="F37" i="1"/>
  <c r="C37" i="9"/>
  <c r="E71" i="1" s="1"/>
  <c r="AL11" i="1"/>
  <c r="F25" i="9"/>
  <c r="K60" i="1" s="1"/>
  <c r="AL13" i="1"/>
  <c r="AL21" i="1"/>
  <c r="AL14" i="1"/>
  <c r="AL22" i="1"/>
  <c r="AK40" i="1"/>
  <c r="AD11" i="1"/>
  <c r="AD19" i="1"/>
  <c r="AD30" i="1"/>
  <c r="AD14" i="1"/>
  <c r="AD22" i="1"/>
  <c r="AC40" i="1"/>
  <c r="AC45" i="1" s="1"/>
  <c r="AE42" i="1" s="1"/>
  <c r="L11" i="1"/>
  <c r="L17" i="1"/>
  <c r="L23" i="1"/>
  <c r="L12" i="1"/>
  <c r="L10" i="1"/>
  <c r="D37" i="9"/>
  <c r="G71" i="1" s="1"/>
  <c r="D28" i="9"/>
  <c r="G63" i="1" s="1"/>
  <c r="H38" i="1"/>
  <c r="H36" i="1"/>
  <c r="H33" i="6"/>
  <c r="I38" i="1"/>
  <c r="F33" i="6"/>
  <c r="AL19" i="1"/>
  <c r="AL12" i="1"/>
  <c r="AL29" i="1"/>
  <c r="AD9" i="1"/>
  <c r="AD12" i="1"/>
  <c r="L16" i="1"/>
  <c r="AD35" i="1"/>
  <c r="AL30" i="1"/>
  <c r="AL15" i="1"/>
  <c r="AL23" i="1"/>
  <c r="AL8" i="1"/>
  <c r="AL16" i="1"/>
  <c r="AD28" i="1"/>
  <c r="AD13" i="1"/>
  <c r="AD21" i="1"/>
  <c r="AD8" i="1"/>
  <c r="AD16" i="1"/>
  <c r="L15" i="1"/>
  <c r="L28" i="1"/>
  <c r="L27" i="1"/>
  <c r="L19" i="1"/>
  <c r="L18" i="1"/>
  <c r="L13" i="1"/>
  <c r="S14" i="1"/>
  <c r="N11" i="1"/>
  <c r="N23" i="1"/>
  <c r="N13" i="1"/>
  <c r="N22" i="1"/>
  <c r="N9" i="1"/>
  <c r="N16" i="1"/>
  <c r="N25" i="1"/>
  <c r="N15" i="1"/>
  <c r="N24" i="1"/>
  <c r="N8" i="1"/>
  <c r="G34" i="9"/>
  <c r="M68" i="1" s="1"/>
  <c r="N20" i="1"/>
  <c r="N19" i="1"/>
  <c r="N12" i="1"/>
  <c r="N17" i="1"/>
  <c r="N27" i="1"/>
  <c r="N30" i="1"/>
  <c r="N18" i="1"/>
  <c r="N14" i="1"/>
  <c r="G25" i="9"/>
  <c r="M60" i="1" s="1"/>
  <c r="N10" i="1"/>
  <c r="N29" i="1"/>
  <c r="N21" i="1"/>
  <c r="AF30" i="1"/>
  <c r="AF24" i="1"/>
  <c r="AF22" i="1"/>
  <c r="AF20" i="1"/>
  <c r="AF18" i="1"/>
  <c r="AF16" i="1"/>
  <c r="AF12" i="1"/>
  <c r="AF10" i="1"/>
  <c r="AF8" i="1"/>
  <c r="AF19" i="1"/>
  <c r="AF27" i="1"/>
  <c r="AF23" i="1"/>
  <c r="AF21" i="1"/>
  <c r="AF29" i="1"/>
  <c r="AF15" i="1"/>
  <c r="AF13" i="1"/>
  <c r="AF9" i="1"/>
  <c r="AF11" i="1"/>
  <c r="P31" i="6"/>
  <c r="N31" i="6"/>
  <c r="D36" i="1"/>
  <c r="D38" i="1"/>
  <c r="G8" i="5"/>
  <c r="U8" i="1"/>
  <c r="F34" i="9"/>
  <c r="K68" i="1" s="1"/>
  <c r="L30" i="1"/>
  <c r="E23" i="5"/>
  <c r="I35" i="5"/>
  <c r="W35" i="1"/>
  <c r="Y13" i="1"/>
  <c r="K13" i="5"/>
  <c r="S53" i="1"/>
  <c r="P15" i="9"/>
  <c r="Q24" i="9"/>
  <c r="S59" i="1" s="1"/>
  <c r="Q23" i="9"/>
  <c r="S58" i="1" s="1"/>
  <c r="K22" i="5"/>
  <c r="Y22" i="1"/>
  <c r="AH30" i="1"/>
  <c r="AH25" i="1"/>
  <c r="AH23" i="1"/>
  <c r="AH21" i="1"/>
  <c r="AH19" i="1"/>
  <c r="AH15" i="1"/>
  <c r="AH13" i="1"/>
  <c r="AH11" i="1"/>
  <c r="AH9" i="1"/>
  <c r="AG40" i="1"/>
  <c r="AH29" i="1"/>
  <c r="AH27" i="1"/>
  <c r="AH24" i="1"/>
  <c r="AH22" i="1"/>
  <c r="AH20" i="1"/>
  <c r="AH18" i="1"/>
  <c r="AH16" i="1"/>
  <c r="AH14" i="1"/>
  <c r="AH12" i="1"/>
  <c r="AH10" i="1"/>
  <c r="AH8" i="1"/>
  <c r="AH17" i="1"/>
  <c r="K16" i="5"/>
  <c r="Y16" i="1"/>
  <c r="AC16" i="9"/>
  <c r="W54" i="1"/>
  <c r="X16" i="9"/>
  <c r="AH28" i="1"/>
  <c r="G38" i="5"/>
  <c r="W37" i="1"/>
  <c r="D34" i="5"/>
  <c r="Y18" i="1"/>
  <c r="K18" i="5"/>
  <c r="U37" i="1"/>
  <c r="E38" i="5"/>
  <c r="K12" i="5"/>
  <c r="Y12" i="1"/>
  <c r="S38" i="1"/>
  <c r="E40" i="1"/>
  <c r="D28" i="6"/>
  <c r="C25" i="9"/>
  <c r="E60" i="1" s="1"/>
  <c r="C34" i="9"/>
  <c r="E68" i="1" s="1"/>
  <c r="AA10" i="1"/>
  <c r="I29" i="5"/>
  <c r="W29" i="1"/>
  <c r="AI40" i="1"/>
  <c r="AJ29" i="1"/>
  <c r="AJ27" i="1"/>
  <c r="AJ24" i="1"/>
  <c r="AJ22" i="1"/>
  <c r="AJ20" i="1"/>
  <c r="AJ18" i="1"/>
  <c r="AJ16" i="1"/>
  <c r="AJ14" i="1"/>
  <c r="AJ12" i="1"/>
  <c r="AJ10" i="1"/>
  <c r="AJ8" i="1"/>
  <c r="AJ30" i="1"/>
  <c r="AJ25" i="1"/>
  <c r="AJ23" i="1"/>
  <c r="AJ21" i="1"/>
  <c r="AJ19" i="1"/>
  <c r="AJ17" i="1"/>
  <c r="AJ15" i="1"/>
  <c r="AJ13" i="1"/>
  <c r="AJ11" i="1"/>
  <c r="AJ9" i="1"/>
  <c r="AJ28" i="1"/>
  <c r="F28" i="6"/>
  <c r="E25" i="9"/>
  <c r="I60" i="1" s="1"/>
  <c r="E34" i="9"/>
  <c r="I68" i="1" s="1"/>
  <c r="H28" i="6"/>
  <c r="K34" i="5"/>
  <c r="Y34" i="1"/>
  <c r="Y9" i="1"/>
  <c r="K9" i="5"/>
  <c r="I17" i="5"/>
  <c r="Y10" i="9"/>
  <c r="U15" i="9"/>
  <c r="U50" i="1"/>
  <c r="V50" i="1" s="1"/>
  <c r="T10" i="9"/>
  <c r="AH35" i="1"/>
  <c r="AH38" i="1"/>
  <c r="AH34" i="1"/>
  <c r="Z51" i="1" l="1"/>
  <c r="V52" i="1"/>
  <c r="X52" i="1"/>
  <c r="V51" i="1"/>
  <c r="G16" i="12"/>
  <c r="L24" i="6" s="1"/>
  <c r="X51" i="1"/>
  <c r="Q27" i="9"/>
  <c r="S62" i="1" s="1"/>
  <c r="T53" i="1"/>
  <c r="J35" i="1"/>
  <c r="J34" i="1"/>
  <c r="Y17" i="1"/>
  <c r="E22" i="7"/>
  <c r="E31" i="7" s="1"/>
  <c r="W38" i="1"/>
  <c r="X36" i="1" s="1"/>
  <c r="F34" i="6"/>
  <c r="N34" i="6" s="1"/>
  <c r="X54" i="1"/>
  <c r="Q37" i="9"/>
  <c r="S71" i="1" s="1"/>
  <c r="Q28" i="9"/>
  <c r="S63" i="1" s="1"/>
  <c r="I40" i="1"/>
  <c r="P33" i="6"/>
  <c r="N33" i="6"/>
  <c r="AF35" i="1"/>
  <c r="AF38" i="1"/>
  <c r="AF34" i="1"/>
  <c r="AF36" i="1"/>
  <c r="J36" i="1"/>
  <c r="E28" i="9"/>
  <c r="I63" i="1" s="1"/>
  <c r="E37" i="9"/>
  <c r="I71" i="1" s="1"/>
  <c r="J38" i="1"/>
  <c r="H34" i="6"/>
  <c r="AF37" i="1"/>
  <c r="I11" i="5"/>
  <c r="W11" i="1"/>
  <c r="AE40" i="1"/>
  <c r="AE45" i="1" s="1"/>
  <c r="AG42" i="1" s="1"/>
  <c r="AG45" i="1" s="1"/>
  <c r="AI42" i="1" s="1"/>
  <c r="AI45" i="1" s="1"/>
  <c r="AK42" i="1" s="1"/>
  <c r="AK45" i="1" s="1"/>
  <c r="AM42" i="1" s="1"/>
  <c r="AM45" i="1" s="1"/>
  <c r="J37" i="1"/>
  <c r="D25" i="9"/>
  <c r="G60" i="1" s="1"/>
  <c r="D34" i="9"/>
  <c r="G68" i="1" s="1"/>
  <c r="G40" i="1"/>
  <c r="I8" i="5"/>
  <c r="G14" i="5"/>
  <c r="W8" i="1"/>
  <c r="E45" i="1"/>
  <c r="G42" i="1" s="1"/>
  <c r="U14" i="1"/>
  <c r="I19" i="5"/>
  <c r="W19" i="1"/>
  <c r="N26" i="6"/>
  <c r="W27" i="1"/>
  <c r="I27" i="5"/>
  <c r="U23" i="1"/>
  <c r="U25" i="1" s="1"/>
  <c r="E25" i="5"/>
  <c r="I37" i="5"/>
  <c r="Y35" i="1"/>
  <c r="K35" i="5"/>
  <c r="T38" i="1"/>
  <c r="T36" i="1"/>
  <c r="T34" i="1"/>
  <c r="T35" i="1"/>
  <c r="U28" i="9"/>
  <c r="U63" i="1" s="1"/>
  <c r="F34" i="5"/>
  <c r="F35" i="5"/>
  <c r="X37" i="1"/>
  <c r="N28" i="6"/>
  <c r="U38" i="1"/>
  <c r="V37" i="1" s="1"/>
  <c r="H35" i="5"/>
  <c r="H34" i="5"/>
  <c r="AA18" i="1"/>
  <c r="AG16" i="9"/>
  <c r="Y54" i="1"/>
  <c r="Z54" i="1" s="1"/>
  <c r="AB16" i="9"/>
  <c r="AA16" i="1"/>
  <c r="K17" i="5"/>
  <c r="AA13" i="1"/>
  <c r="U53" i="1"/>
  <c r="V53" i="1" s="1"/>
  <c r="U23" i="9"/>
  <c r="U58" i="1" s="1"/>
  <c r="U27" i="9"/>
  <c r="U62" i="1" s="1"/>
  <c r="T15" i="9"/>
  <c r="U24" i="9"/>
  <c r="U59" i="1" s="1"/>
  <c r="U17" i="9"/>
  <c r="P17" i="9"/>
  <c r="S55" i="1"/>
  <c r="T55" i="1" s="1"/>
  <c r="Q36" i="9"/>
  <c r="S70" i="1" s="1"/>
  <c r="Q32" i="9"/>
  <c r="S66" i="1" s="1"/>
  <c r="Q33" i="9"/>
  <c r="S67" i="1" s="1"/>
  <c r="AC10" i="9"/>
  <c r="Y15" i="9"/>
  <c r="Y28" i="9" s="1"/>
  <c r="W63" i="1" s="1"/>
  <c r="W50" i="1"/>
  <c r="X50" i="1" s="1"/>
  <c r="X10" i="9"/>
  <c r="AA9" i="1"/>
  <c r="AA34" i="1"/>
  <c r="Y29" i="1"/>
  <c r="K29" i="5"/>
  <c r="T37" i="1"/>
  <c r="AA12" i="1"/>
  <c r="AA22" i="1"/>
  <c r="X35" i="1" l="1"/>
  <c r="X34" i="1"/>
  <c r="O28" i="1"/>
  <c r="C26" i="5"/>
  <c r="D20" i="4"/>
  <c r="C20" i="5" s="1"/>
  <c r="X38" i="1"/>
  <c r="E36" i="7"/>
  <c r="G45" i="1"/>
  <c r="I42" i="1" s="1"/>
  <c r="I45" i="1" s="1"/>
  <c r="K42" i="1" s="1"/>
  <c r="K45" i="1" s="1"/>
  <c r="M42" i="1" s="1"/>
  <c r="M45" i="1" s="1"/>
  <c r="W14" i="1"/>
  <c r="K27" i="5"/>
  <c r="AA27" i="1" s="1"/>
  <c r="Y27" i="1"/>
  <c r="K11" i="5"/>
  <c r="AA11" i="1" s="1"/>
  <c r="Y11" i="1"/>
  <c r="Y19" i="1"/>
  <c r="K19" i="5"/>
  <c r="AA19" i="1" s="1"/>
  <c r="I14" i="5"/>
  <c r="Y8" i="1"/>
  <c r="K8" i="5"/>
  <c r="Y37" i="1"/>
  <c r="Y38" i="1" s="1"/>
  <c r="Z38" i="1" s="1"/>
  <c r="I38" i="5"/>
  <c r="G23" i="5"/>
  <c r="K37" i="5"/>
  <c r="AA35" i="1"/>
  <c r="AG10" i="9"/>
  <c r="AC15" i="9"/>
  <c r="Y50" i="1"/>
  <c r="Z50" i="1" s="1"/>
  <c r="AB10" i="9"/>
  <c r="AA17" i="1"/>
  <c r="AA29" i="1"/>
  <c r="AA54" i="1"/>
  <c r="AF16" i="9"/>
  <c r="W53" i="1"/>
  <c r="X53" i="1" s="1"/>
  <c r="Y27" i="9"/>
  <c r="W62" i="1" s="1"/>
  <c r="Y23" i="9"/>
  <c r="W58" i="1" s="1"/>
  <c r="X15" i="9"/>
  <c r="Y24" i="9"/>
  <c r="W59" i="1" s="1"/>
  <c r="Y17" i="9"/>
  <c r="T17" i="9"/>
  <c r="U32" i="9"/>
  <c r="U66" i="1" s="1"/>
  <c r="U55" i="1"/>
  <c r="V55" i="1" s="1"/>
  <c r="U36" i="9"/>
  <c r="U70" i="1" s="1"/>
  <c r="U33" i="9"/>
  <c r="U67" i="1" s="1"/>
  <c r="V35" i="1"/>
  <c r="V38" i="1"/>
  <c r="V36" i="1"/>
  <c r="V34" i="1"/>
  <c r="U37" i="9"/>
  <c r="U71" i="1" s="1"/>
  <c r="C28" i="5" l="1"/>
  <c r="C30" i="5" s="1"/>
  <c r="E26" i="5"/>
  <c r="S26" i="1"/>
  <c r="L26" i="6"/>
  <c r="O30" i="1"/>
  <c r="P28" i="1" s="1"/>
  <c r="P26" i="6"/>
  <c r="S20" i="1"/>
  <c r="G28" i="7"/>
  <c r="G22" i="7"/>
  <c r="G31" i="7" s="1"/>
  <c r="G20" i="4" s="1"/>
  <c r="E20" i="5" s="1"/>
  <c r="Y14" i="1"/>
  <c r="O42" i="1"/>
  <c r="Z35" i="1"/>
  <c r="Z37" i="1"/>
  <c r="Z36" i="1"/>
  <c r="Z34" i="1"/>
  <c r="AA8" i="1"/>
  <c r="AA14" i="1" s="1"/>
  <c r="K14" i="5"/>
  <c r="G25" i="5"/>
  <c r="W23" i="1"/>
  <c r="W25" i="1" s="1"/>
  <c r="J34" i="5"/>
  <c r="J35" i="5"/>
  <c r="AA37" i="1"/>
  <c r="AA38" i="1" s="1"/>
  <c r="AB34" i="1" s="1"/>
  <c r="K38" i="5"/>
  <c r="AG15" i="9"/>
  <c r="AA50" i="1"/>
  <c r="AF10" i="9"/>
  <c r="W55" i="1"/>
  <c r="X55" i="1" s="1"/>
  <c r="X17" i="9"/>
  <c r="Y36" i="9"/>
  <c r="W70" i="1" s="1"/>
  <c r="Y32" i="9"/>
  <c r="W66" i="1" s="1"/>
  <c r="Y33" i="9"/>
  <c r="W67" i="1" s="1"/>
  <c r="Y37" i="9"/>
  <c r="W71" i="1" s="1"/>
  <c r="Y53" i="1"/>
  <c r="Z53" i="1" s="1"/>
  <c r="AB15" i="9"/>
  <c r="AC23" i="9"/>
  <c r="Y58" i="1" s="1"/>
  <c r="AC27" i="9"/>
  <c r="Y62" i="1" s="1"/>
  <c r="AC24" i="9"/>
  <c r="Y59" i="1" s="1"/>
  <c r="AC17" i="9"/>
  <c r="AC28" i="9"/>
  <c r="Y63" i="1" s="1"/>
  <c r="S28" i="1" l="1"/>
  <c r="S30" i="1" s="1"/>
  <c r="O40" i="1"/>
  <c r="O45" i="1" s="1"/>
  <c r="P18" i="1"/>
  <c r="P13" i="1"/>
  <c r="P17" i="1"/>
  <c r="P25" i="1"/>
  <c r="P23" i="1"/>
  <c r="P14" i="1"/>
  <c r="K25" i="9"/>
  <c r="O60" i="1" s="1"/>
  <c r="P24" i="1"/>
  <c r="P21" i="1"/>
  <c r="K34" i="9"/>
  <c r="O68" i="1" s="1"/>
  <c r="P10" i="1"/>
  <c r="P30" i="1"/>
  <c r="P29" i="1"/>
  <c r="P12" i="1"/>
  <c r="P11" i="1"/>
  <c r="P19" i="1"/>
  <c r="P20" i="1"/>
  <c r="P8" i="1"/>
  <c r="P27" i="1"/>
  <c r="P9" i="1"/>
  <c r="P15" i="1"/>
  <c r="P28" i="6"/>
  <c r="P22" i="1"/>
  <c r="P16" i="1"/>
  <c r="L28" i="6"/>
  <c r="P26" i="1"/>
  <c r="U26" i="1"/>
  <c r="U28" i="1" s="1"/>
  <c r="G26" i="5"/>
  <c r="W26" i="1" s="1"/>
  <c r="E28" i="5"/>
  <c r="D28" i="5"/>
  <c r="D26" i="5"/>
  <c r="D11" i="5"/>
  <c r="D21" i="5"/>
  <c r="D19" i="5"/>
  <c r="D13" i="5"/>
  <c r="D22" i="5"/>
  <c r="D24" i="5"/>
  <c r="Q34" i="9"/>
  <c r="S68" i="1" s="1"/>
  <c r="D27" i="5"/>
  <c r="D14" i="5"/>
  <c r="D18" i="5"/>
  <c r="D12" i="5"/>
  <c r="D17" i="5"/>
  <c r="Q25" i="9"/>
  <c r="S60" i="1" s="1"/>
  <c r="C39" i="5"/>
  <c r="D25" i="5"/>
  <c r="D8" i="5"/>
  <c r="D16" i="5"/>
  <c r="D29" i="5"/>
  <c r="D9" i="5"/>
  <c r="D20" i="5"/>
  <c r="D15" i="5"/>
  <c r="D23" i="5"/>
  <c r="D10" i="5"/>
  <c r="U20" i="1"/>
  <c r="G30" i="7"/>
  <c r="G36" i="7" s="1"/>
  <c r="AB36" i="1"/>
  <c r="AB35" i="1"/>
  <c r="L34" i="5"/>
  <c r="L35" i="5"/>
  <c r="I23" i="5"/>
  <c r="AB37" i="1"/>
  <c r="AB17" i="9"/>
  <c r="Y55" i="1"/>
  <c r="Z55" i="1" s="1"/>
  <c r="AC36" i="9"/>
  <c r="Y70" i="1" s="1"/>
  <c r="AC32" i="9"/>
  <c r="Y66" i="1" s="1"/>
  <c r="AC37" i="9"/>
  <c r="Y71" i="1" s="1"/>
  <c r="AC33" i="9"/>
  <c r="Y67" i="1" s="1"/>
  <c r="AA53" i="1"/>
  <c r="AF15" i="9"/>
  <c r="AG27" i="9"/>
  <c r="AA62" i="1" s="1"/>
  <c r="AG23" i="9"/>
  <c r="AA58" i="1" s="1"/>
  <c r="AG28" i="9"/>
  <c r="AA63" i="1" s="1"/>
  <c r="AG17" i="9"/>
  <c r="AG24" i="9"/>
  <c r="AA59" i="1" s="1"/>
  <c r="T24" i="1" l="1"/>
  <c r="S40" i="1"/>
  <c r="T16" i="1"/>
  <c r="T12" i="1"/>
  <c r="T15" i="1"/>
  <c r="T26" i="1"/>
  <c r="T20" i="1"/>
  <c r="T19" i="1"/>
  <c r="S41" i="1"/>
  <c r="T22" i="1"/>
  <c r="T25" i="1"/>
  <c r="T10" i="1"/>
  <c r="T17" i="1"/>
  <c r="T11" i="1"/>
  <c r="T14" i="1"/>
  <c r="T23" i="1"/>
  <c r="T30" i="1"/>
  <c r="T13" i="1"/>
  <c r="T29" i="1"/>
  <c r="T18" i="1"/>
  <c r="T28" i="1"/>
  <c r="T27" i="1"/>
  <c r="T9" i="1"/>
  <c r="T8" i="1"/>
  <c r="T21" i="1"/>
  <c r="C40" i="5"/>
  <c r="C42" i="5" s="1"/>
  <c r="E40" i="5" s="1"/>
  <c r="S42" i="1"/>
  <c r="I26" i="5"/>
  <c r="Y26" i="1" s="1"/>
  <c r="E30" i="5"/>
  <c r="I28" i="7"/>
  <c r="I22" i="7"/>
  <c r="I31" i="7" s="1"/>
  <c r="J20" i="4" s="1"/>
  <c r="G20" i="5" s="1"/>
  <c r="G28" i="5" s="1"/>
  <c r="I25" i="5"/>
  <c r="Y23" i="1"/>
  <c r="Y25" i="1" s="1"/>
  <c r="AA55" i="1"/>
  <c r="AF17" i="9"/>
  <c r="AG32" i="9"/>
  <c r="AA66" i="1" s="1"/>
  <c r="AG36" i="9"/>
  <c r="AA70" i="1" s="1"/>
  <c r="AG33" i="9"/>
  <c r="AA67" i="1" s="1"/>
  <c r="AG37" i="9"/>
  <c r="AA71" i="1" s="1"/>
  <c r="S45" i="1" l="1"/>
  <c r="U42" i="1" s="1"/>
  <c r="K26" i="5"/>
  <c r="F28" i="5"/>
  <c r="F26" i="5"/>
  <c r="W20" i="1"/>
  <c r="W28" i="1" s="1"/>
  <c r="I30" i="7"/>
  <c r="I36" i="7" s="1"/>
  <c r="F16" i="5"/>
  <c r="F12" i="5"/>
  <c r="F10" i="5"/>
  <c r="F15" i="5"/>
  <c r="F14" i="5"/>
  <c r="F23" i="5"/>
  <c r="F22" i="5"/>
  <c r="F13" i="5"/>
  <c r="F17" i="5"/>
  <c r="F9" i="5"/>
  <c r="U34" i="9"/>
  <c r="U68" i="1" s="1"/>
  <c r="F11" i="5"/>
  <c r="F18" i="5"/>
  <c r="F19" i="5"/>
  <c r="F21" i="5"/>
  <c r="F27" i="5"/>
  <c r="U25" i="9"/>
  <c r="U60" i="1" s="1"/>
  <c r="F29" i="5"/>
  <c r="F25" i="5"/>
  <c r="F8" i="5"/>
  <c r="E39" i="5"/>
  <c r="E42" i="5" s="1"/>
  <c r="G40" i="5" s="1"/>
  <c r="F24" i="5"/>
  <c r="F20" i="5"/>
  <c r="U30" i="1"/>
  <c r="U41" i="1" s="1"/>
  <c r="K23" i="5"/>
  <c r="AA26" i="1" l="1"/>
  <c r="V28" i="1"/>
  <c r="V26" i="1"/>
  <c r="K28" i="7"/>
  <c r="K30" i="7" s="1"/>
  <c r="K22" i="7"/>
  <c r="K31" i="7" s="1"/>
  <c r="M20" i="4" s="1"/>
  <c r="I20" i="5" s="1"/>
  <c r="I28" i="5" s="1"/>
  <c r="G30" i="5"/>
  <c r="U40" i="1"/>
  <c r="V19" i="1"/>
  <c r="V27" i="1"/>
  <c r="V12" i="1"/>
  <c r="V18" i="1"/>
  <c r="V17" i="1"/>
  <c r="V30" i="1"/>
  <c r="V29" i="1"/>
  <c r="V22" i="1"/>
  <c r="V23" i="1"/>
  <c r="V11" i="1"/>
  <c r="V8" i="1"/>
  <c r="V15" i="1"/>
  <c r="V21" i="1"/>
  <c r="V9" i="1"/>
  <c r="V16" i="1"/>
  <c r="V14" i="1"/>
  <c r="V13" i="1"/>
  <c r="V10" i="1"/>
  <c r="V24" i="1"/>
  <c r="V25" i="1"/>
  <c r="V20" i="1"/>
  <c r="K25" i="5"/>
  <c r="AA23" i="1"/>
  <c r="AA25" i="1" s="1"/>
  <c r="H28" i="5" l="1"/>
  <c r="H26" i="5"/>
  <c r="U45" i="1"/>
  <c r="W42" i="1" s="1"/>
  <c r="W30" i="1"/>
  <c r="H13" i="5"/>
  <c r="H15" i="5"/>
  <c r="H16" i="5"/>
  <c r="H10" i="5"/>
  <c r="Y25" i="9"/>
  <c r="W60" i="1" s="1"/>
  <c r="H9" i="5"/>
  <c r="H22" i="5"/>
  <c r="H14" i="5"/>
  <c r="H18" i="5"/>
  <c r="H23" i="5"/>
  <c r="H17" i="5"/>
  <c r="H29" i="5"/>
  <c r="H19" i="5"/>
  <c r="G39" i="5"/>
  <c r="G42" i="5" s="1"/>
  <c r="I40" i="5" s="1"/>
  <c r="H25" i="5"/>
  <c r="H21" i="5"/>
  <c r="H24" i="5"/>
  <c r="H12" i="5"/>
  <c r="H27" i="5"/>
  <c r="Y34" i="9"/>
  <c r="W68" i="1" s="1"/>
  <c r="H11" i="5"/>
  <c r="H8" i="5"/>
  <c r="H20" i="5"/>
  <c r="Y20" i="1"/>
  <c r="Y28" i="1" s="1"/>
  <c r="I30" i="5"/>
  <c r="K36" i="7"/>
  <c r="X26" i="1" l="1"/>
  <c r="W41" i="1"/>
  <c r="J10" i="5"/>
  <c r="J26" i="5"/>
  <c r="J21" i="5"/>
  <c r="J9" i="5"/>
  <c r="J16" i="5"/>
  <c r="J22" i="5"/>
  <c r="J28" i="5"/>
  <c r="J15" i="5"/>
  <c r="J23" i="5"/>
  <c r="J27" i="5"/>
  <c r="J20" i="5"/>
  <c r="AC25" i="9"/>
  <c r="Y60" i="1" s="1"/>
  <c r="I39" i="5"/>
  <c r="I42" i="5" s="1"/>
  <c r="K40" i="5" s="1"/>
  <c r="AC34" i="9"/>
  <c r="Y68" i="1" s="1"/>
  <c r="J24" i="5"/>
  <c r="J11" i="5"/>
  <c r="J12" i="5"/>
  <c r="J18" i="5"/>
  <c r="J29" i="5"/>
  <c r="J25" i="5"/>
  <c r="X19" i="1"/>
  <c r="X24" i="1"/>
  <c r="X13" i="1"/>
  <c r="X10" i="1"/>
  <c r="X29" i="1"/>
  <c r="X30" i="1"/>
  <c r="X16" i="1"/>
  <c r="X22" i="1"/>
  <c r="X27" i="1"/>
  <c r="X12" i="1"/>
  <c r="X11" i="1"/>
  <c r="X8" i="1"/>
  <c r="X15" i="1"/>
  <c r="X14" i="1"/>
  <c r="W40" i="1"/>
  <c r="W45" i="1" s="1"/>
  <c r="Y42" i="1" s="1"/>
  <c r="X18" i="1"/>
  <c r="X23" i="1"/>
  <c r="X21" i="1"/>
  <c r="X17" i="1"/>
  <c r="X25" i="1"/>
  <c r="X9" i="1"/>
  <c r="X20" i="1"/>
  <c r="M28" i="7"/>
  <c r="M22" i="7"/>
  <c r="J13" i="5"/>
  <c r="J14" i="5"/>
  <c r="J19" i="5"/>
  <c r="J8" i="5"/>
  <c r="J17" i="5"/>
  <c r="X28" i="1"/>
  <c r="Y30" i="1" l="1"/>
  <c r="M30" i="7"/>
  <c r="P20" i="4"/>
  <c r="K20" i="5" s="1"/>
  <c r="K28" i="5" s="1"/>
  <c r="M31" i="7"/>
  <c r="Z28" i="1" l="1"/>
  <c r="Y41" i="1"/>
  <c r="M36" i="7"/>
  <c r="AA20" i="1"/>
  <c r="AA28" i="1" s="1"/>
  <c r="Z30" i="1"/>
  <c r="Z18" i="1"/>
  <c r="Z21" i="1"/>
  <c r="Z27" i="1"/>
  <c r="Z13" i="1"/>
  <c r="Z19" i="1"/>
  <c r="Z12" i="1"/>
  <c r="Z23" i="1"/>
  <c r="Y40" i="1"/>
  <c r="Y45" i="1" s="1"/>
  <c r="AA42" i="1" s="1"/>
  <c r="Z10" i="1"/>
  <c r="Z16" i="1"/>
  <c r="Z24" i="1"/>
  <c r="Z11" i="1"/>
  <c r="Z17" i="1"/>
  <c r="Z9" i="1"/>
  <c r="Z14" i="1"/>
  <c r="Z25" i="1"/>
  <c r="Z15" i="1"/>
  <c r="Z22" i="1"/>
  <c r="Z29" i="1"/>
  <c r="Z8" i="1"/>
  <c r="Z20" i="1"/>
  <c r="K30" i="5" l="1"/>
  <c r="L28" i="5" l="1"/>
  <c r="L26" i="5"/>
  <c r="AA30" i="1"/>
  <c r="AA41" i="1" s="1"/>
  <c r="L20" i="5"/>
  <c r="L24" i="5"/>
  <c r="K39" i="5"/>
  <c r="K42" i="5" s="1"/>
  <c r="L22" i="5"/>
  <c r="L12" i="5"/>
  <c r="L14" i="5"/>
  <c r="AG25" i="9"/>
  <c r="AA60" i="1" s="1"/>
  <c r="L10" i="5"/>
  <c r="L23" i="5"/>
  <c r="L25" i="5"/>
  <c r="L21" i="5"/>
  <c r="L16" i="5"/>
  <c r="L9" i="5"/>
  <c r="L11" i="5"/>
  <c r="L13" i="5"/>
  <c r="AG34" i="9"/>
  <c r="AA68" i="1" s="1"/>
  <c r="L29" i="5"/>
  <c r="L15" i="5"/>
  <c r="L27" i="5"/>
  <c r="L18" i="5"/>
  <c r="L8" i="5"/>
  <c r="L17" i="5"/>
  <c r="L19" i="5"/>
  <c r="AB28" i="1" l="1"/>
  <c r="AB26" i="1"/>
  <c r="AB24" i="1"/>
  <c r="AB11" i="1"/>
  <c r="AB12" i="1"/>
  <c r="AB30" i="1"/>
  <c r="AB10" i="1"/>
  <c r="AB8" i="1"/>
  <c r="AB13" i="1"/>
  <c r="AB23" i="1"/>
  <c r="AA40" i="1"/>
  <c r="AA45" i="1" s="1"/>
  <c r="AB21" i="1"/>
  <c r="AB19" i="1"/>
  <c r="AB22" i="1"/>
  <c r="AB17" i="1"/>
  <c r="AB25" i="1"/>
  <c r="AB15" i="1"/>
  <c r="AB18" i="1"/>
  <c r="AB9" i="1"/>
  <c r="AB14" i="1"/>
  <c r="AB16" i="1"/>
  <c r="AB29" i="1"/>
  <c r="AB27" i="1"/>
  <c r="AB20" i="1"/>
</calcChain>
</file>

<file path=xl/sharedStrings.xml><?xml version="1.0" encoding="utf-8"?>
<sst xmlns="http://schemas.openxmlformats.org/spreadsheetml/2006/main" count="571" uniqueCount="263">
  <si>
    <t>Council Name:</t>
  </si>
  <si>
    <t>Rate
%</t>
  </si>
  <si>
    <t>Incremental
$$</t>
  </si>
  <si>
    <t>Council Five Year Plan - Setup</t>
  </si>
  <si>
    <t>Endowment History</t>
  </si>
  <si>
    <t>Value of Endowment Investments (December 31)</t>
  </si>
  <si>
    <t>Value of Endowment Investments (January 1)</t>
  </si>
  <si>
    <t>Forecasted Value of Endowment Investments</t>
  </si>
  <si>
    <t>Instructions:</t>
  </si>
  <si>
    <t>Unrestricted Net Assets Beginning of Year</t>
  </si>
  <si>
    <t>Unrestricted Net Assets End of Year</t>
  </si>
  <si>
    <t>Endowment Forecast</t>
  </si>
  <si>
    <t>Number of Years for Spending Policy (1-5):</t>
  </si>
  <si>
    <t>Project Sales</t>
  </si>
  <si>
    <t>Foundations &amp; Trusts</t>
  </si>
  <si>
    <t xml:space="preserve">Net Friends of Scouting </t>
  </si>
  <si>
    <t>Net Special Fundraising Events</t>
  </si>
  <si>
    <t>Legacies &amp; Bequests</t>
  </si>
  <si>
    <t>Other Direct Support</t>
  </si>
  <si>
    <t>United Ways</t>
  </si>
  <si>
    <t>Net Sale of Supplies</t>
  </si>
  <si>
    <t>Net Sale of Products</t>
  </si>
  <si>
    <t>Camping</t>
  </si>
  <si>
    <t>Activities</t>
  </si>
  <si>
    <t>Total Reclass of Net Assets</t>
  </si>
  <si>
    <t>Total Employee Compensation</t>
  </si>
  <si>
    <t>Total Other Expenses</t>
  </si>
  <si>
    <t>Other Indirect &amp; Government</t>
  </si>
  <si>
    <t>Activities Net</t>
  </si>
  <si>
    <t>Net Other Expenses</t>
  </si>
  <si>
    <t>Transfers to Capital</t>
  </si>
  <si>
    <t>%</t>
  </si>
  <si>
    <t xml:space="preserve">  Total Direct Support</t>
  </si>
  <si>
    <t xml:space="preserve">  Total Indirect Support</t>
  </si>
  <si>
    <t xml:space="preserve">  Total Adjusted Revenue</t>
  </si>
  <si>
    <t>Total Adjusted Expense &amp; Transfers</t>
  </si>
  <si>
    <t>Total Adjusted Income &amp; Transfers</t>
  </si>
  <si>
    <t>Operating Expense &amp; Transfers</t>
  </si>
  <si>
    <t>Operating Income &amp; Transfers</t>
  </si>
  <si>
    <t>* Compound Annual Growth Rate (CAGR) is the year-over-year percentage growth rate over the indicated time period - the trend.</t>
  </si>
  <si>
    <t>Setup Sheet</t>
  </si>
  <si>
    <t>A. History Input</t>
  </si>
  <si>
    <t>B. Historical Growth</t>
  </si>
  <si>
    <t>C. Endowment Investments</t>
  </si>
  <si>
    <t>D. Growth Plan</t>
  </si>
  <si>
    <t>E. Output</t>
  </si>
  <si>
    <t xml:space="preserve">Transfers to Capital </t>
  </si>
  <si>
    <t>Investment Income</t>
  </si>
  <si>
    <t xml:space="preserve"> - Less Jamboree Revenue</t>
  </si>
  <si>
    <t xml:space="preserve"> - Less Jamboree Expenses</t>
  </si>
  <si>
    <t>-Jamboree Revenue</t>
  </si>
  <si>
    <t>-Jamboree Expenses</t>
  </si>
  <si>
    <t>-Investment Income to Operating Fund</t>
  </si>
  <si>
    <t>Endowment Funds To Be Raised Current Year</t>
  </si>
  <si>
    <t>Gain or Loss on Transactions</t>
  </si>
  <si>
    <t>Gaiin or Loss on Transactions</t>
  </si>
  <si>
    <t>Unrestricted Transfers Between Funds</t>
  </si>
  <si>
    <t>Increase (Decrease) in Total Net Assets</t>
  </si>
  <si>
    <t>Total Adjsutments to Net Assets</t>
  </si>
  <si>
    <t>Forecasted Support to Operating Fund (Spending Policy)</t>
  </si>
  <si>
    <t>Expected Endowment Rate of Return (Annual %):</t>
  </si>
  <si>
    <t>Endowment Spending Policy (Annual %):</t>
  </si>
  <si>
    <t>Annual Endowment Earnings</t>
  </si>
  <si>
    <t>Endowment Funds Raised in Year</t>
  </si>
  <si>
    <t>Increase(Decrease) in Unrestricted Net Assets</t>
  </si>
  <si>
    <t>Adjustments to Net Assets</t>
  </si>
  <si>
    <t>Transfers</t>
  </si>
  <si>
    <t>Total Expenses</t>
  </si>
  <si>
    <t>Endowment Funds Raised/Transferred</t>
  </si>
  <si>
    <t>Total Expense</t>
  </si>
  <si>
    <t>Increase (Decrease) Unrestricted Net Assets</t>
  </si>
  <si>
    <t>number of years used to calculate annual amount and estimated Endowment earnings rate.</t>
  </si>
  <si>
    <t>on the model entries are on the History Input, Endowment and Growth Plan sheets. Rounding will cause Revenue, Expense and Net Asset totals to be off slightly.</t>
  </si>
  <si>
    <t>Do not estimate or enter the Jamboree expense!</t>
  </si>
  <si>
    <t>year as a result of rounding or adjustments made after the statement date. These small differences are immaterial and will not affect the results of the model.</t>
  </si>
  <si>
    <t>Resulting dollar amounts will be reflected on the Endowment Investment page in the Forecast section. and carry through the Growth Plan to the Output.</t>
  </si>
  <si>
    <t>These amounts will reduce the Endowment Balance for the purpose of the Endowment earnings forecast.</t>
  </si>
  <si>
    <t xml:space="preserve">-Enter information in Green cells only. </t>
  </si>
  <si>
    <t>-Enter the council Endowment Spending Policy information as indicated.  If the council does not have a Spending Policy estimate the policy variables - spending percentage,</t>
  </si>
  <si>
    <t>-Enter dollar amounts as actual amounts - i.e. 967,684 - or round off the last three digits - i.e. 968. If rounding is used, it must be consistent in every Green cell dollar entry</t>
  </si>
  <si>
    <t>-Enter Jamboree revenue, if known, where indicated in the activities section. The exact same amount will be subtracted from Expenses and the annual totals will not change.</t>
  </si>
  <si>
    <t xml:space="preserve">-Entering adjustments and transfers just as they appear on the Statement of Operations. These figures may be off by a small amount year to </t>
  </si>
  <si>
    <t>-Historical growth is presented in annual - i.e. year-to-year - percentage change. Compound annual growth is presented in percentage over the indicated period.</t>
  </si>
  <si>
    <t>-The sheet is locked and requires no entry - all figures are results of entries made on the History Input page.</t>
  </si>
  <si>
    <t>-Enter information in Green cells only. Required information is from Statement of Changes line items of the same name.</t>
  </si>
  <si>
    <t xml:space="preserve">-All other information on this page is referenced or computed. </t>
  </si>
  <si>
    <t>-After loading History and Endowment information, review the both the dollar and percentage trends in the Operating Fund History and Historical Growth pages.</t>
  </si>
  <si>
    <t>-Growth Plan assumptions are entered as annual percentage growth estimates in the Yellow cells and/or incremental dollar amounts in Green cells.</t>
  </si>
  <si>
    <t xml:space="preserve">-Incremental dollar amounts are entered only in the first year they happen - but not in subsequent years. </t>
  </si>
  <si>
    <t>-Enter Endowment campaign goals, in dollar or percentage, on Growth Plan in section at the bottom.</t>
  </si>
  <si>
    <t>-Dollars moved from the Endowment to the Capital fund are entered on the Growth Plan.</t>
  </si>
  <si>
    <t>-The sheet is locked and requires no entry.</t>
  </si>
  <si>
    <t>-Compare the dollar and percentage results on the Output to your Operating history trends and strategic plan goals or expectations.</t>
  </si>
  <si>
    <t>-Identify percentage or dollar trends that are materially off.Adjust percentage or incremental growth parameters on the Growth Plan. Review Output and repeat as needed.</t>
  </si>
  <si>
    <t xml:space="preserve">  A CAGR of less than 0 means that the growth trend is negative over that time period.</t>
  </si>
  <si>
    <t>-Jamboree Exp. (no entry-carried from line 24)</t>
  </si>
  <si>
    <t>ACTUAL</t>
  </si>
  <si>
    <t>BUDGET</t>
  </si>
  <si>
    <t>Budget</t>
  </si>
  <si>
    <t>FOS/Member</t>
  </si>
  <si>
    <t>Direct Support/Member</t>
  </si>
  <si>
    <t>Total Support and Revenue/Member</t>
  </si>
  <si>
    <t>Current Year</t>
  </si>
  <si>
    <t>Plan Year 1</t>
  </si>
  <si>
    <t>Plan Year 2</t>
  </si>
  <si>
    <t>Plan Year 3</t>
  </si>
  <si>
    <t>Plan Year 4</t>
  </si>
  <si>
    <t>Plan Year 5</t>
  </si>
  <si>
    <t>D. Financial Growth Plan</t>
  </si>
  <si>
    <t>Venturers</t>
  </si>
  <si>
    <t>Explorers</t>
  </si>
  <si>
    <t>Total Youth</t>
  </si>
  <si>
    <t>Membership Participation</t>
  </si>
  <si>
    <t>Actual</t>
  </si>
  <si>
    <t>Planned</t>
  </si>
  <si>
    <t>Incremental</t>
  </si>
  <si>
    <t>FOS/Total Youth</t>
  </si>
  <si>
    <t>Direct Support/Total Youth</t>
  </si>
  <si>
    <t>Total Support and Revenue/Youth</t>
  </si>
  <si>
    <t>$ Per Total Members</t>
  </si>
  <si>
    <t>$ Per Total Youth</t>
  </si>
  <si>
    <t>Total Net Endowment Assets, Beginning of Year</t>
  </si>
  <si>
    <t>Total Net Endowment Assets, End of Year</t>
  </si>
  <si>
    <t>Total Investment Income Support to Operating Fund</t>
  </si>
  <si>
    <r>
      <t xml:space="preserve">-Jamboree Revenue (enter as a </t>
    </r>
    <r>
      <rPr>
        <b/>
        <sz val="10"/>
        <rFont val="Arial"/>
        <family val="2"/>
      </rPr>
      <t>Positive</t>
    </r>
    <r>
      <rPr>
        <sz val="10"/>
        <rFont val="Arial"/>
        <family val="2"/>
      </rPr>
      <t xml:space="preserve"> number)</t>
    </r>
  </si>
  <si>
    <t>Membership History and Planning</t>
  </si>
  <si>
    <r>
      <t>Investment Income (from</t>
    </r>
    <r>
      <rPr>
        <sz val="10"/>
        <color indexed="17"/>
        <rFont val="Arial"/>
        <family val="2"/>
      </rPr>
      <t xml:space="preserve"> </t>
    </r>
    <r>
      <rPr>
        <b/>
        <i/>
        <sz val="10"/>
        <color indexed="17"/>
        <rFont val="Arial"/>
        <family val="2"/>
      </rPr>
      <t>Sheet C</t>
    </r>
    <r>
      <rPr>
        <b/>
        <i/>
        <sz val="10"/>
        <color indexed="48"/>
        <rFont val="Arial"/>
        <family val="2"/>
      </rPr>
      <t>.)</t>
    </r>
  </si>
  <si>
    <t>Cub Scouts (including Tiger and Webelos)</t>
  </si>
  <si>
    <t>Boy Scouts (including Varsity Scouts)</t>
  </si>
  <si>
    <t>% growth</t>
  </si>
  <si>
    <t>Total Traditional Members</t>
  </si>
  <si>
    <t>PLAN</t>
  </si>
  <si>
    <r>
      <t xml:space="preserve">-Jamboree Rev Est. (enter as </t>
    </r>
    <r>
      <rPr>
        <b/>
        <sz val="12"/>
        <rFont val="Arial"/>
        <family val="2"/>
      </rPr>
      <t>Positive</t>
    </r>
    <r>
      <rPr>
        <sz val="12"/>
        <rFont val="Arial"/>
        <family val="2"/>
      </rPr>
      <t xml:space="preserve"> number)</t>
    </r>
  </si>
  <si>
    <t>Membership</t>
  </si>
  <si>
    <t xml:space="preserve">  Total Traditional</t>
  </si>
  <si>
    <t xml:space="preserve">  Total Youth</t>
  </si>
  <si>
    <t>Boy Scouts</t>
  </si>
  <si>
    <t>Cub Scouts (including Tigers and Webelos)</t>
  </si>
  <si>
    <t>Employee Compensation/Total Youth</t>
  </si>
  <si>
    <t>Total Support and Revenue/Traditional</t>
  </si>
  <si>
    <t xml:space="preserve">Direct Support/Traditional </t>
  </si>
  <si>
    <t>FOS/Traditional</t>
  </si>
  <si>
    <t>Employee Compensation/Traditional</t>
  </si>
  <si>
    <t>Total Support and Revenue/Total Youth</t>
  </si>
  <si>
    <t>Change</t>
  </si>
  <si>
    <t>Total Expenses/Traditional</t>
  </si>
  <si>
    <t>Total Expenses/Total Youth</t>
  </si>
  <si>
    <t>Employee Compensation/Member</t>
  </si>
  <si>
    <t>Total Expenses/Member</t>
  </si>
  <si>
    <t>\</t>
  </si>
  <si>
    <t>]]]]]]]]]]]]]]]</t>
  </si>
  <si>
    <t xml:space="preserve">  FOS/Member</t>
  </si>
  <si>
    <t xml:space="preserve">  Direct Support/Member</t>
  </si>
  <si>
    <t xml:space="preserve">  Total Support and Revenue/Member</t>
  </si>
  <si>
    <t xml:space="preserve">  Employee Compensation/Member</t>
  </si>
  <si>
    <t xml:space="preserve">  Total Expenses/Member</t>
  </si>
  <si>
    <t xml:space="preserve">  FOS/Total Youth</t>
  </si>
  <si>
    <t xml:space="preserve">  Direct Support/Total Youth</t>
  </si>
  <si>
    <t xml:space="preserve">  Total Support and Revenue/Youth</t>
  </si>
  <si>
    <t xml:space="preserve">  Employee Compensation/Total Youth</t>
  </si>
  <si>
    <t xml:space="preserve">  Total Expenses/Total Youth</t>
  </si>
  <si>
    <t>Example Council Membership Planning</t>
  </si>
  <si>
    <t xml:space="preserve">-Enter 5 year Membership History in green cells only. </t>
  </si>
  <si>
    <t>-Enter current year Membership Plan additions by number in green cells.</t>
  </si>
  <si>
    <t>-Enter Council membeship plan growth by category in each of plan years.</t>
  </si>
  <si>
    <r>
      <t>Activities</t>
    </r>
    <r>
      <rPr>
        <b/>
        <sz val="14"/>
        <rFont val="Arial"/>
        <family val="2"/>
      </rPr>
      <t xml:space="preserve"> Net</t>
    </r>
  </si>
  <si>
    <t>201 Budget or Forecast?:</t>
  </si>
  <si>
    <t>Current Year:</t>
  </si>
  <si>
    <t>% Annual Growth</t>
  </si>
  <si>
    <t>4 Year</t>
  </si>
  <si>
    <t>ACTUAL CAGR</t>
  </si>
  <si>
    <t>% Budget Growth</t>
  </si>
  <si>
    <t>5 Year</t>
  </si>
  <si>
    <t>BUDGET CAGR</t>
  </si>
  <si>
    <t>Estimate</t>
  </si>
  <si>
    <t>-Enter dollar or percentage growth goals from the Council Strategic Plan using the same logic.</t>
  </si>
  <si>
    <t xml:space="preserve">Five Year Operating and Membership Plan </t>
  </si>
  <si>
    <t>Scouts (including Varsity Scouts)</t>
  </si>
  <si>
    <t>-If you are adding a new Special Event (i.e. Sporting Clays) in Budget Year and think that event will net 15,000 in the Budget Year, enter 15,000 in the Budget Year Green area only.</t>
  </si>
  <si>
    <t>If same Special Events is to continue in the Forecast Year - including Sporting Clays - enter only a percentage growth factor for Special Events in the Forecast Years (not another incremental dollar figure).</t>
  </si>
  <si>
    <t>TAB COLORS</t>
  </si>
  <si>
    <t>These tabs show Historical and Future Years</t>
  </si>
  <si>
    <t>This tab requires input for Future Years</t>
  </si>
  <si>
    <t>Cell Colors</t>
  </si>
  <si>
    <t>These cells require input</t>
  </si>
  <si>
    <t>Input Req.</t>
  </si>
  <si>
    <r>
      <t xml:space="preserve">Spending Policy Annual % Rate (from </t>
    </r>
    <r>
      <rPr>
        <b/>
        <i/>
        <sz val="12"/>
        <color indexed="17"/>
        <rFont val="Arial"/>
        <family val="2"/>
      </rPr>
      <t>Setup</t>
    </r>
    <r>
      <rPr>
        <sz val="12"/>
        <rFont val="Arial"/>
        <family val="2"/>
      </rPr>
      <t>)</t>
    </r>
  </si>
  <si>
    <r>
      <t>Number of Prior Years Used For Averaging Investments (from</t>
    </r>
    <r>
      <rPr>
        <b/>
        <i/>
        <sz val="12"/>
        <color indexed="48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Setup</t>
    </r>
    <r>
      <rPr>
        <sz val="12"/>
        <rFont val="Arial"/>
        <family val="2"/>
      </rPr>
      <t>)</t>
    </r>
  </si>
  <si>
    <r>
      <t xml:space="preserve">Estimated Rate of Return on Endowment Investments (from </t>
    </r>
    <r>
      <rPr>
        <b/>
        <i/>
        <sz val="12"/>
        <color indexed="48"/>
        <rFont val="Arial"/>
        <family val="2"/>
      </rPr>
      <t>Setup</t>
    </r>
    <r>
      <rPr>
        <sz val="12"/>
        <rFont val="Arial"/>
        <family val="2"/>
      </rPr>
      <t>)</t>
    </r>
  </si>
  <si>
    <r>
      <t>-Transfers to Capital Fund (from</t>
    </r>
    <r>
      <rPr>
        <b/>
        <i/>
        <sz val="12"/>
        <color indexed="17"/>
        <rFont val="Arial"/>
        <family val="2"/>
      </rPr>
      <t xml:space="preserve"> Sheet D. Growth Plan</t>
    </r>
    <r>
      <rPr>
        <sz val="12"/>
        <rFont val="Arial"/>
        <family val="2"/>
      </rPr>
      <t>)</t>
    </r>
  </si>
  <si>
    <r>
      <t xml:space="preserve">                                                 (from</t>
    </r>
    <r>
      <rPr>
        <b/>
        <i/>
        <sz val="12"/>
        <color indexed="48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D. Growth Plan</t>
    </r>
    <r>
      <rPr>
        <sz val="12"/>
        <rFont val="Arial"/>
        <family val="2"/>
      </rPr>
      <t>)</t>
    </r>
  </si>
  <si>
    <t>Council Fees by Membership Type</t>
  </si>
  <si>
    <t>Maximum</t>
  </si>
  <si>
    <t xml:space="preserve">Percent of </t>
  </si>
  <si>
    <t>Total</t>
  </si>
  <si>
    <t>Fee/Person</t>
  </si>
  <si>
    <t>Fee</t>
  </si>
  <si>
    <t>Adults</t>
  </si>
  <si>
    <t>Total Fee</t>
  </si>
  <si>
    <t>ADULTS</t>
  </si>
  <si>
    <t>Members Paid</t>
  </si>
  <si>
    <t>Program Fee</t>
  </si>
  <si>
    <t>Target Surplus at 5% of Revenue</t>
  </si>
  <si>
    <t>INSTRUCTIONS</t>
  </si>
  <si>
    <t>Col. 2</t>
  </si>
  <si>
    <t>Col. 1</t>
  </si>
  <si>
    <t>Col. 3</t>
  </si>
  <si>
    <t>Col. 4</t>
  </si>
  <si>
    <t>Col. 5</t>
  </si>
  <si>
    <t>Membership #'s taken from "Membership" tab</t>
  </si>
  <si>
    <t>Enter amount of requested Program Fee for Youth and Adults.</t>
  </si>
  <si>
    <t>Enter estimated percent of members who will pay</t>
  </si>
  <si>
    <t xml:space="preserve">Est. </t>
  </si>
  <si>
    <t>Paying #</t>
  </si>
  <si>
    <t>Projected Program Fee collected</t>
  </si>
  <si>
    <r>
      <t xml:space="preserve">Other Revenue </t>
    </r>
    <r>
      <rPr>
        <b/>
        <sz val="12"/>
        <rFont val="Arial"/>
        <family val="2"/>
      </rPr>
      <t>Less Program Fee</t>
    </r>
  </si>
  <si>
    <t>Est. number of members who will pay</t>
  </si>
  <si>
    <t>Total Adults</t>
  </si>
  <si>
    <r>
      <t xml:space="preserve">Other Revenue </t>
    </r>
    <r>
      <rPr>
        <b/>
        <sz val="10"/>
        <rFont val="Arial"/>
        <family val="2"/>
      </rPr>
      <t>Less Program Fee</t>
    </r>
  </si>
  <si>
    <r>
      <t xml:space="preserve">Other Revenue </t>
    </r>
    <r>
      <rPr>
        <b/>
        <sz val="11"/>
        <rFont val="Arial"/>
        <family val="2"/>
      </rPr>
      <t>Less Program Fee</t>
    </r>
  </si>
  <si>
    <r>
      <t xml:space="preserve">Other Revenue </t>
    </r>
    <r>
      <rPr>
        <b/>
        <sz val="14"/>
        <rFont val="Arial"/>
        <family val="2"/>
      </rPr>
      <t>Less Program Fee</t>
    </r>
  </si>
  <si>
    <t>A. History Input &amp; Output</t>
  </si>
  <si>
    <t>Council Program Fees</t>
  </si>
  <si>
    <t xml:space="preserve">      -   See Instructions in tab</t>
  </si>
  <si>
    <t>-    Other Revenue Less Program Fee-   NEW-  Line 26 -DO NOT INCLUDE PROGRAM FEE"</t>
  </si>
  <si>
    <t xml:space="preserve">                PROGRAM FEE-  NEW- Line 27-  Take from hisorical or enter amount from Budget</t>
  </si>
  <si>
    <r>
      <t xml:space="preserve">Enter in Green cells only. Council Statement of Operations is source for </t>
    </r>
    <r>
      <rPr>
        <b/>
        <sz val="12"/>
        <rFont val="Arial"/>
        <family val="2"/>
      </rPr>
      <t>actual data for 2015-2021</t>
    </r>
    <r>
      <rPr>
        <sz val="12"/>
        <rFont val="Arial"/>
        <family val="2"/>
      </rPr>
      <t xml:space="preserve">. Council </t>
    </r>
    <r>
      <rPr>
        <b/>
        <sz val="12"/>
        <rFont val="Arial"/>
        <family val="2"/>
      </rPr>
      <t>budget is source for 2022.</t>
    </r>
  </si>
  <si>
    <t>Capital Fund and Camping</t>
  </si>
  <si>
    <t>Fixed Assets</t>
  </si>
  <si>
    <t>Add Change Amounts to this column</t>
  </si>
  <si>
    <t>CHANGE</t>
  </si>
  <si>
    <t>Projection/ Budget</t>
  </si>
  <si>
    <t>Projection</t>
  </si>
  <si>
    <t>NON=Camp Bldg./ Land</t>
  </si>
  <si>
    <t>Camp Bldg./Land</t>
  </si>
  <si>
    <t>CIP</t>
  </si>
  <si>
    <t>Total Buildings/Land</t>
  </si>
  <si>
    <t>Change in Bldg/Land</t>
  </si>
  <si>
    <t>Change in CIP</t>
  </si>
  <si>
    <t>Total Cash + Investments</t>
  </si>
  <si>
    <t>Camp</t>
  </si>
  <si>
    <t>Camp Revenue</t>
  </si>
  <si>
    <t>Camp Expenses</t>
  </si>
  <si>
    <t>Net Camp Surplus/ Loss</t>
  </si>
  <si>
    <t>Number Summer Campers</t>
  </si>
  <si>
    <t>Revenue / Camper</t>
  </si>
  <si>
    <t>Expense / Camper</t>
  </si>
  <si>
    <t>Net Revenue / Camper</t>
  </si>
  <si>
    <t>Sample Council- #0325</t>
  </si>
  <si>
    <r>
      <rPr>
        <b/>
        <sz val="14"/>
        <rFont val="Arial"/>
        <family val="2"/>
      </rPr>
      <t>1.</t>
    </r>
    <r>
      <rPr>
        <sz val="14"/>
        <rFont val="Arial"/>
        <family val="2"/>
      </rPr>
      <t xml:space="preserve"> Enter Council Name, Current Year,  Endowment Spending %, Endowment Years for Spending Calculation and Expected</t>
    </r>
  </si>
  <si>
    <r>
      <t xml:space="preserve">      Investment Return for Total Endowment in green squares on</t>
    </r>
    <r>
      <rPr>
        <b/>
        <sz val="14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Setup Sheet</t>
    </r>
    <r>
      <rPr>
        <sz val="14"/>
        <rFont val="Arial"/>
        <family val="2"/>
      </rPr>
      <t>.</t>
    </r>
  </si>
  <si>
    <r>
      <rPr>
        <b/>
        <sz val="14"/>
        <rFont val="Arial"/>
        <family val="2"/>
      </rPr>
      <t>2.</t>
    </r>
    <r>
      <rPr>
        <sz val="14"/>
        <rFont val="Arial"/>
        <family val="2"/>
      </rPr>
      <t xml:space="preserve"> Enter 5 year membership history in green squares on</t>
    </r>
    <r>
      <rPr>
        <b/>
        <i/>
        <sz val="14"/>
        <color indexed="12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Membership History and Planning Sheet</t>
    </r>
    <r>
      <rPr>
        <b/>
        <i/>
        <sz val="14"/>
        <color indexed="12"/>
        <rFont val="Arial"/>
        <family val="2"/>
      </rPr>
      <t>.</t>
    </r>
  </si>
  <si>
    <r>
      <rPr>
        <b/>
        <sz val="14"/>
        <rFont val="Arial"/>
        <family val="2"/>
      </rPr>
      <t>3.</t>
    </r>
    <r>
      <rPr>
        <sz val="14"/>
        <rFont val="Arial"/>
        <family val="2"/>
      </rPr>
      <t xml:space="preserve"> Enter 5 year operating financial  history in green squares on</t>
    </r>
    <r>
      <rPr>
        <b/>
        <i/>
        <sz val="14"/>
        <color indexed="12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Sheet A. History Input</t>
    </r>
    <r>
      <rPr>
        <b/>
        <i/>
        <sz val="14"/>
        <rFont val="Arial"/>
        <family val="2"/>
      </rPr>
      <t>. Input is taken directly from Comparative Statement of Operations</t>
    </r>
  </si>
  <si>
    <r>
      <rPr>
        <b/>
        <sz val="14"/>
        <rFont val="Arial"/>
        <family val="2"/>
      </rPr>
      <t>4.</t>
    </r>
    <r>
      <rPr>
        <sz val="14"/>
        <rFont val="Arial"/>
        <family val="2"/>
      </rPr>
      <t xml:space="preserve"> Do not enter anything on</t>
    </r>
    <r>
      <rPr>
        <b/>
        <i/>
        <sz val="14"/>
        <color indexed="12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Sheet B. Historical Growth</t>
    </r>
    <r>
      <rPr>
        <b/>
        <i/>
        <sz val="14"/>
        <rFont val="Arial"/>
        <family val="2"/>
      </rPr>
      <t>.</t>
    </r>
    <r>
      <rPr>
        <i/>
        <sz val="14"/>
        <rFont val="Arial"/>
        <family val="2"/>
      </rPr>
      <t xml:space="preserve"> </t>
    </r>
    <r>
      <rPr>
        <sz val="14"/>
        <rFont val="Arial"/>
        <family val="2"/>
      </rPr>
      <t xml:space="preserve"> It will display the annual % growth and CAGRs for Actual(4y) Budget(5y).</t>
    </r>
  </si>
  <si>
    <r>
      <rPr>
        <b/>
        <sz val="14"/>
        <rFont val="Arial"/>
        <family val="2"/>
      </rPr>
      <t>5.</t>
    </r>
    <r>
      <rPr>
        <sz val="14"/>
        <rFont val="Arial"/>
        <family val="2"/>
      </rPr>
      <t xml:space="preserve"> Enter Endowment Fund beginning Net Assets (Year 1 only), Inc (Dec), Transfers, Adjustment from Statement of Changes in Net Assets</t>
    </r>
  </si>
  <si>
    <r>
      <t xml:space="preserve">     in green cells (</t>
    </r>
    <r>
      <rPr>
        <b/>
        <sz val="14"/>
        <rFont val="Arial"/>
        <family val="2"/>
      </rPr>
      <t>only!</t>
    </r>
    <r>
      <rPr>
        <sz val="14"/>
        <rFont val="Arial"/>
        <family val="2"/>
      </rPr>
      <t>) on</t>
    </r>
    <r>
      <rPr>
        <sz val="14"/>
        <color indexed="17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Sheet C. Endowment Investments</t>
    </r>
    <r>
      <rPr>
        <sz val="14"/>
        <rFont val="Arial"/>
        <family val="2"/>
      </rPr>
      <t>. All other values will be computed or referenced.</t>
    </r>
  </si>
  <si>
    <r>
      <rPr>
        <b/>
        <sz val="14"/>
        <rFont val="Arial"/>
        <family val="2"/>
      </rPr>
      <t>6.</t>
    </r>
    <r>
      <rPr>
        <sz val="14"/>
        <rFont val="Arial"/>
        <family val="2"/>
      </rPr>
      <t xml:space="preserve"> Spending Policy %, Years and Total Return as entered on</t>
    </r>
    <r>
      <rPr>
        <b/>
        <i/>
        <sz val="14"/>
        <color indexed="17"/>
        <rFont val="Arial"/>
        <family val="2"/>
      </rPr>
      <t xml:space="preserve"> Setup</t>
    </r>
    <r>
      <rPr>
        <sz val="14"/>
        <rFont val="Arial"/>
        <family val="2"/>
      </rPr>
      <t xml:space="preserve"> will appear in </t>
    </r>
    <r>
      <rPr>
        <b/>
        <sz val="14"/>
        <rFont val="Arial"/>
        <family val="2"/>
      </rPr>
      <t>Endowment Forecast</t>
    </r>
    <r>
      <rPr>
        <sz val="14"/>
        <rFont val="Arial"/>
        <family val="2"/>
      </rPr>
      <t xml:space="preserve"> section of</t>
    </r>
  </si>
  <si>
    <r>
      <t xml:space="preserve">     </t>
    </r>
    <r>
      <rPr>
        <b/>
        <i/>
        <sz val="14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Sheet C. Endowment Investments</t>
    </r>
    <r>
      <rPr>
        <sz val="14"/>
        <rFont val="Arial"/>
        <family val="2"/>
      </rPr>
      <t>.</t>
    </r>
  </si>
  <si>
    <r>
      <rPr>
        <b/>
        <sz val="14"/>
        <rFont val="Arial"/>
        <family val="2"/>
      </rPr>
      <t>7.</t>
    </r>
    <r>
      <rPr>
        <sz val="14"/>
        <rFont val="Arial"/>
        <family val="2"/>
      </rPr>
      <t xml:space="preserve"> Review</t>
    </r>
    <r>
      <rPr>
        <b/>
        <i/>
        <sz val="14"/>
        <color indexed="12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Sheet A. History Input</t>
    </r>
    <r>
      <rPr>
        <sz val="14"/>
        <rFont val="Arial"/>
        <family val="2"/>
      </rPr>
      <t xml:space="preserve"> and </t>
    </r>
    <r>
      <rPr>
        <b/>
        <i/>
        <sz val="14"/>
        <color indexed="17"/>
        <rFont val="Arial"/>
        <family val="2"/>
      </rPr>
      <t>Sheet B. Historical Growth</t>
    </r>
    <r>
      <rPr>
        <b/>
        <i/>
        <sz val="14"/>
        <color indexed="12"/>
        <rFont val="Arial"/>
        <family val="2"/>
      </rPr>
      <t>.</t>
    </r>
    <r>
      <rPr>
        <sz val="14"/>
        <rFont val="Arial"/>
        <family val="2"/>
      </rPr>
      <t xml:space="preserve"> Note trends and changes for revenue and expense items.</t>
    </r>
  </si>
  <si>
    <r>
      <rPr>
        <b/>
        <sz val="14"/>
        <rFont val="Arial"/>
        <family val="2"/>
      </rPr>
      <t>8.</t>
    </r>
    <r>
      <rPr>
        <sz val="14"/>
        <rFont val="Arial"/>
        <family val="2"/>
      </rPr>
      <t xml:space="preserve">  Enter an annual percentage growth factor and/or incremental dollar value for every revenue and expense item on </t>
    </r>
    <r>
      <rPr>
        <b/>
        <i/>
        <sz val="14"/>
        <color indexed="17"/>
        <rFont val="Arial"/>
        <family val="2"/>
      </rPr>
      <t xml:space="preserve"> Sheet D. Growth Plan</t>
    </r>
  </si>
  <si>
    <r>
      <t xml:space="preserve">     Annual Investment Income calculated on </t>
    </r>
    <r>
      <rPr>
        <b/>
        <i/>
        <sz val="14"/>
        <color indexed="17"/>
        <rFont val="Arial"/>
        <family val="2"/>
      </rPr>
      <t>Sheet C. Endowment Investments</t>
    </r>
    <r>
      <rPr>
        <sz val="14"/>
        <rFont val="Arial"/>
        <family val="2"/>
      </rPr>
      <t xml:space="preserve"> will carry over from</t>
    </r>
    <r>
      <rPr>
        <b/>
        <i/>
        <sz val="14"/>
        <color indexed="17"/>
        <rFont val="Arial"/>
        <family val="2"/>
      </rPr>
      <t xml:space="preserve"> Sheet C</t>
    </r>
    <r>
      <rPr>
        <b/>
        <i/>
        <sz val="14"/>
        <color indexed="48"/>
        <rFont val="Arial"/>
        <family val="2"/>
      </rPr>
      <t>.</t>
    </r>
    <r>
      <rPr>
        <b/>
        <i/>
        <sz val="14"/>
        <rFont val="Arial"/>
        <family val="2"/>
      </rPr>
      <t xml:space="preserve"> - do not re-enter or change</t>
    </r>
    <r>
      <rPr>
        <sz val="14"/>
        <rFont val="Arial"/>
        <family val="2"/>
      </rPr>
      <t>.</t>
    </r>
  </si>
  <si>
    <r>
      <rPr>
        <b/>
        <sz val="14"/>
        <rFont val="Arial"/>
        <family val="2"/>
      </rPr>
      <t>9.</t>
    </r>
    <r>
      <rPr>
        <b/>
        <sz val="14"/>
        <color indexed="17"/>
        <rFont val="Arial"/>
        <family val="2"/>
      </rPr>
      <t xml:space="preserve"> </t>
    </r>
    <r>
      <rPr>
        <b/>
        <i/>
        <sz val="14"/>
        <color indexed="17"/>
        <rFont val="Arial"/>
        <family val="2"/>
      </rPr>
      <t>Sheet E. Output</t>
    </r>
    <r>
      <rPr>
        <b/>
        <i/>
        <sz val="14"/>
        <color indexed="12"/>
        <rFont val="Arial"/>
        <family val="2"/>
      </rPr>
      <t xml:space="preserve"> </t>
    </r>
    <r>
      <rPr>
        <sz val="14"/>
        <rFont val="Arial"/>
        <family val="2"/>
      </rPr>
      <t xml:space="preserve"> will display the Five Year Plan incorprating all input - do not enter or change anything on this sheet</t>
    </r>
  </si>
  <si>
    <r>
      <rPr>
        <b/>
        <sz val="14"/>
        <rFont val="Arial"/>
        <family val="2"/>
      </rPr>
      <t xml:space="preserve">10. Review </t>
    </r>
    <r>
      <rPr>
        <b/>
        <i/>
        <sz val="14"/>
        <color indexed="17"/>
        <rFont val="Arial"/>
        <family val="2"/>
      </rPr>
      <t>Sheet E. Output</t>
    </r>
    <r>
      <rPr>
        <b/>
        <i/>
        <sz val="14"/>
        <color indexed="12"/>
        <rFont val="Arial"/>
        <family val="2"/>
      </rPr>
      <t>.</t>
    </r>
    <r>
      <rPr>
        <sz val="14"/>
        <rFont val="Arial"/>
        <family val="2"/>
      </rPr>
      <t xml:space="preserve"> Make adjustments to Plan by changing growth assumptions on Sheet D. Growth Plan.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</si>
</sst>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#.0%;[Red]\(#.0%\)"/>
    <numFmt numFmtId="166" formatCode="#0.0%;[Red]\(#0.0%\)"/>
    <numFmt numFmtId="167" formatCode="_(* #,##0_);_(* \(#,##0\);_(* &quot;-&quot;??_);_(@_)"/>
    <numFmt numFmtId="168" formatCode="&quot;$&quot;#,##0"/>
    <numFmt numFmtId="169" formatCode="_(&quot;$&quot;* #,##0_);_(&quot;$&quot;* \(#,##0\);_(&quot;$&quot;* &quot;-&quot;??_);_(@_)"/>
  </numFmts>
  <fonts count="63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6"/>
      <name val="Arial Black"/>
      <family val="2"/>
    </font>
    <font>
      <sz val="8"/>
      <name val="Arial"/>
      <family val="2"/>
    </font>
    <font>
      <u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4"/>
      <name val="Arial"/>
      <family val="2"/>
    </font>
    <font>
      <sz val="8"/>
      <color indexed="10"/>
      <name val="Arial"/>
      <family val="2"/>
    </font>
    <font>
      <sz val="9"/>
      <name val="Arial"/>
      <family val="2"/>
    </font>
    <font>
      <b/>
      <i/>
      <sz val="12"/>
      <color indexed="48"/>
      <name val="Arial"/>
      <family val="2"/>
    </font>
    <font>
      <b/>
      <u/>
      <sz val="9"/>
      <name val="Arial"/>
      <family val="2"/>
    </font>
    <font>
      <b/>
      <u/>
      <sz val="10"/>
      <name val="Arial"/>
      <family val="2"/>
    </font>
    <font>
      <b/>
      <i/>
      <sz val="10"/>
      <color indexed="48"/>
      <name val="Arial"/>
      <family val="2"/>
    </font>
    <font>
      <sz val="10"/>
      <color indexed="10"/>
      <name val="Arial"/>
      <family val="2"/>
    </font>
    <font>
      <b/>
      <i/>
      <sz val="12"/>
      <color indexed="17"/>
      <name val="Arial"/>
      <family val="2"/>
    </font>
    <font>
      <b/>
      <i/>
      <sz val="10"/>
      <color indexed="17"/>
      <name val="Arial"/>
      <family val="2"/>
    </font>
    <font>
      <sz val="10"/>
      <color indexed="17"/>
      <name val="Arial"/>
      <family val="2"/>
    </font>
    <font>
      <sz val="12"/>
      <color indexed="10"/>
      <name val="Arial"/>
      <family val="2"/>
    </font>
    <font>
      <b/>
      <sz val="9"/>
      <name val="Arial"/>
      <family val="2"/>
    </font>
    <font>
      <b/>
      <sz val="16"/>
      <name val="Arial Black"/>
      <family val="2"/>
    </font>
    <font>
      <u val="singleAccounting"/>
      <sz val="12"/>
      <name val="Arial"/>
      <family val="2"/>
    </font>
    <font>
      <u/>
      <sz val="9"/>
      <name val="Arial"/>
      <family val="2"/>
    </font>
    <font>
      <sz val="14"/>
      <name val="Arial"/>
      <family val="2"/>
    </font>
    <font>
      <sz val="14"/>
      <name val="Arial Black"/>
      <family val="2"/>
    </font>
    <font>
      <b/>
      <u/>
      <sz val="14"/>
      <name val="Arial"/>
      <family val="2"/>
    </font>
    <font>
      <u/>
      <sz val="10"/>
      <name val="Arial"/>
      <family val="2"/>
    </font>
    <font>
      <u/>
      <sz val="14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i/>
      <sz val="14"/>
      <color rgb="FF008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i/>
      <u/>
      <sz val="12"/>
      <color rgb="FF008000"/>
      <name val="Arial"/>
      <family val="2"/>
    </font>
    <font>
      <b/>
      <i/>
      <sz val="12"/>
      <color rgb="FF008000"/>
      <name val="Arial"/>
      <family val="2"/>
    </font>
    <font>
      <b/>
      <i/>
      <sz val="12"/>
      <color rgb="FF3366FF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i/>
      <sz val="16"/>
      <name val="Arial"/>
      <family val="2"/>
    </font>
    <font>
      <sz val="12"/>
      <name val="Arial Black"/>
      <family val="2"/>
    </font>
    <font>
      <u/>
      <sz val="12"/>
      <name val="Arial"/>
      <family val="2"/>
    </font>
    <font>
      <b/>
      <sz val="12"/>
      <color indexed="10"/>
      <name val="Arial"/>
      <family val="2"/>
    </font>
    <font>
      <sz val="12"/>
      <color rgb="FFFF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6"/>
      <color rgb="FF008000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i/>
      <sz val="14"/>
      <color indexed="17"/>
      <name val="Arial"/>
      <family val="2"/>
    </font>
    <font>
      <b/>
      <i/>
      <sz val="14"/>
      <color indexed="12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sz val="14"/>
      <color indexed="17"/>
      <name val="Arial"/>
      <family val="2"/>
    </font>
    <font>
      <b/>
      <i/>
      <sz val="14"/>
      <color indexed="48"/>
      <name val="Arial"/>
      <family val="2"/>
    </font>
    <font>
      <b/>
      <sz val="14"/>
      <color indexed="17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rgb="FF99CC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9"/>
      </right>
      <top/>
      <bottom style="medium">
        <color indexed="9"/>
      </bottom>
      <diagonal/>
    </border>
    <border>
      <left/>
      <right/>
      <top/>
      <bottom style="medium">
        <color indexed="9"/>
      </bottom>
      <diagonal/>
    </border>
    <border>
      <left/>
      <right/>
      <top style="medium">
        <color indexed="9"/>
      </top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medium">
        <color indexed="9"/>
      </right>
      <top/>
      <bottom/>
      <diagonal/>
    </border>
    <border>
      <left/>
      <right/>
      <top style="mediumDashDot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9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40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164" fontId="3" fillId="0" borderId="0" xfId="4" applyNumberFormat="1" applyFont="1" applyAlignment="1">
      <alignment horizontal="center"/>
    </xf>
    <xf numFmtId="0" fontId="3" fillId="0" borderId="0" xfId="0" applyFont="1"/>
    <xf numFmtId="37" fontId="2" fillId="2" borderId="1" xfId="0" applyNumberFormat="1" applyFont="1" applyFill="1" applyBorder="1"/>
    <xf numFmtId="164" fontId="2" fillId="0" borderId="0" xfId="4" applyNumberFormat="1" applyFont="1"/>
    <xf numFmtId="0" fontId="4" fillId="0" borderId="0" xfId="0" applyFont="1"/>
    <xf numFmtId="37" fontId="4" fillId="0" borderId="0" xfId="0" applyNumberFormat="1" applyFont="1"/>
    <xf numFmtId="164" fontId="4" fillId="0" borderId="0" xfId="4" applyNumberFormat="1" applyFont="1"/>
    <xf numFmtId="37" fontId="2" fillId="2" borderId="2" xfId="0" applyNumberFormat="1" applyFont="1" applyFill="1" applyBorder="1"/>
    <xf numFmtId="37" fontId="2" fillId="2" borderId="3" xfId="0" applyNumberFormat="1" applyFont="1" applyFill="1" applyBorder="1"/>
    <xf numFmtId="37" fontId="2" fillId="2" borderId="4" xfId="0" applyNumberFormat="1" applyFont="1" applyFill="1" applyBorder="1"/>
    <xf numFmtId="37" fontId="2" fillId="0" borderId="0" xfId="0" applyNumberFormat="1" applyFont="1"/>
    <xf numFmtId="0" fontId="2" fillId="0" borderId="0" xfId="0" applyFont="1" applyAlignment="1">
      <alignment horizontal="center"/>
    </xf>
    <xf numFmtId="164" fontId="2" fillId="0" borderId="0" xfId="4" applyNumberFormat="1" applyFont="1" applyAlignment="1">
      <alignment horizontal="center"/>
    </xf>
    <xf numFmtId="164" fontId="4" fillId="0" borderId="0" xfId="4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 wrapText="1"/>
    </xf>
    <xf numFmtId="37" fontId="2" fillId="0" borderId="0" xfId="0" applyNumberFormat="1" applyFont="1" applyFill="1" applyBorder="1"/>
    <xf numFmtId="37" fontId="4" fillId="0" borderId="0" xfId="0" applyNumberFormat="1" applyFont="1" applyFill="1"/>
    <xf numFmtId="0" fontId="8" fillId="0" borderId="0" xfId="0" applyFont="1" applyAlignment="1">
      <alignment vertical="center"/>
    </xf>
    <xf numFmtId="37" fontId="4" fillId="0" borderId="5" xfId="0" applyNumberFormat="1" applyFont="1" applyFill="1" applyBorder="1"/>
    <xf numFmtId="37" fontId="2" fillId="0" borderId="4" xfId="0" applyNumberFormat="1" applyFont="1" applyFill="1" applyBorder="1"/>
    <xf numFmtId="164" fontId="3" fillId="0" borderId="0" xfId="4" applyNumberFormat="1" applyFont="1" applyFill="1" applyBorder="1" applyAlignment="1">
      <alignment horizontal="center"/>
    </xf>
    <xf numFmtId="164" fontId="4" fillId="0" borderId="0" xfId="4" applyNumberFormat="1" applyFont="1" applyFill="1" applyBorder="1" applyAlignment="1">
      <alignment horizontal="center"/>
    </xf>
    <xf numFmtId="164" fontId="3" fillId="0" borderId="5" xfId="4" applyNumberFormat="1" applyFont="1" applyBorder="1" applyAlignment="1">
      <alignment horizontal="center"/>
    </xf>
    <xf numFmtId="164" fontId="4" fillId="0" borderId="5" xfId="4" applyNumberFormat="1" applyFont="1" applyBorder="1" applyAlignment="1">
      <alignment horizontal="center"/>
    </xf>
    <xf numFmtId="0" fontId="10" fillId="0" borderId="0" xfId="0" applyFont="1"/>
    <xf numFmtId="38" fontId="4" fillId="0" borderId="0" xfId="0" applyNumberFormat="1" applyFont="1"/>
    <xf numFmtId="38" fontId="4" fillId="0" borderId="0" xfId="4" applyNumberFormat="1" applyFont="1" applyAlignment="1">
      <alignment horizontal="center"/>
    </xf>
    <xf numFmtId="38" fontId="4" fillId="0" borderId="0" xfId="4" applyNumberFormat="1" applyFont="1"/>
    <xf numFmtId="0" fontId="11" fillId="0" borderId="0" xfId="0" applyFont="1"/>
    <xf numFmtId="0" fontId="12" fillId="0" borderId="0" xfId="0" applyFont="1"/>
    <xf numFmtId="0" fontId="5" fillId="0" borderId="0" xfId="0" applyFont="1"/>
    <xf numFmtId="167" fontId="15" fillId="0" borderId="0" xfId="1" applyNumberFormat="1" applyFont="1"/>
    <xf numFmtId="0" fontId="16" fillId="0" borderId="0" xfId="0" applyFont="1"/>
    <xf numFmtId="164" fontId="4" fillId="5" borderId="5" xfId="4" applyNumberFormat="1" applyFont="1" applyFill="1" applyBorder="1" applyAlignment="1">
      <alignment horizontal="center"/>
    </xf>
    <xf numFmtId="164" fontId="2" fillId="5" borderId="5" xfId="4" applyNumberFormat="1" applyFont="1" applyFill="1" applyBorder="1"/>
    <xf numFmtId="0" fontId="2" fillId="0" borderId="0" xfId="0" applyFont="1" applyAlignment="1"/>
    <xf numFmtId="0" fontId="14" fillId="0" borderId="0" xfId="0" applyFont="1" applyAlignment="1">
      <alignment horizontal="center"/>
    </xf>
    <xf numFmtId="164" fontId="35" fillId="0" borderId="0" xfId="4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0" fillId="0" borderId="0" xfId="0" applyFont="1"/>
    <xf numFmtId="166" fontId="4" fillId="5" borderId="2" xfId="4" applyNumberFormat="1" applyFont="1" applyFill="1" applyBorder="1"/>
    <xf numFmtId="1" fontId="12" fillId="0" borderId="0" xfId="0" applyNumberFormat="1" applyFont="1"/>
    <xf numFmtId="167" fontId="5" fillId="0" borderId="0" xfId="1" applyNumberFormat="1" applyFont="1"/>
    <xf numFmtId="0" fontId="5" fillId="0" borderId="0" xfId="0" applyFont="1" applyAlignment="1">
      <alignment horizontal="right"/>
    </xf>
    <xf numFmtId="167" fontId="12" fillId="6" borderId="0" xfId="1" applyNumberFormat="1" applyFont="1" applyFill="1"/>
    <xf numFmtId="0" fontId="12" fillId="0" borderId="0" xfId="0" applyFont="1" applyFill="1" applyAlignment="1">
      <alignment horizontal="center"/>
    </xf>
    <xf numFmtId="0" fontId="19" fillId="0" borderId="0" xfId="0" applyFont="1"/>
    <xf numFmtId="0" fontId="0" fillId="0" borderId="0" xfId="0" quotePrefix="1" applyFont="1"/>
    <xf numFmtId="37" fontId="10" fillId="0" borderId="0" xfId="0" applyNumberFormat="1" applyFont="1"/>
    <xf numFmtId="37" fontId="10" fillId="0" borderId="5" xfId="0" applyNumberFormat="1" applyFont="1" applyFill="1" applyBorder="1"/>
    <xf numFmtId="164" fontId="9" fillId="4" borderId="8" xfId="4" applyNumberFormat="1" applyFont="1" applyFill="1" applyBorder="1" applyAlignment="1">
      <alignment horizontal="center"/>
    </xf>
    <xf numFmtId="37" fontId="9" fillId="6" borderId="1" xfId="0" applyNumberFormat="1" applyFont="1" applyFill="1" applyBorder="1"/>
    <xf numFmtId="37" fontId="9" fillId="6" borderId="9" xfId="0" applyNumberFormat="1" applyFont="1" applyFill="1" applyBorder="1"/>
    <xf numFmtId="37" fontId="9" fillId="6" borderId="10" xfId="0" applyNumberFormat="1" applyFont="1" applyFill="1" applyBorder="1"/>
    <xf numFmtId="0" fontId="10" fillId="0" borderId="0" xfId="0" applyFont="1" applyAlignment="1">
      <alignment horizontal="center"/>
    </xf>
    <xf numFmtId="37" fontId="9" fillId="6" borderId="2" xfId="0" applyNumberFormat="1" applyFont="1" applyFill="1" applyBorder="1"/>
    <xf numFmtId="37" fontId="9" fillId="6" borderId="3" xfId="0" applyNumberFormat="1" applyFont="1" applyFill="1" applyBorder="1"/>
    <xf numFmtId="37" fontId="9" fillId="6" borderId="4" xfId="0" applyNumberFormat="1" applyFont="1" applyFill="1" applyBorder="1"/>
    <xf numFmtId="164" fontId="9" fillId="0" borderId="8" xfId="4" applyNumberFormat="1" applyFont="1" applyFill="1" applyBorder="1" applyAlignment="1">
      <alignment horizontal="center"/>
    </xf>
    <xf numFmtId="37" fontId="9" fillId="0" borderId="3" xfId="0" applyNumberFormat="1" applyFont="1" applyFill="1" applyBorder="1"/>
    <xf numFmtId="164" fontId="9" fillId="4" borderId="11" xfId="4" applyNumberFormat="1" applyFont="1" applyFill="1" applyBorder="1" applyAlignment="1">
      <alignment horizontal="center"/>
    </xf>
    <xf numFmtId="37" fontId="9" fillId="6" borderId="6" xfId="0" applyNumberFormat="1" applyFont="1" applyFill="1" applyBorder="1"/>
    <xf numFmtId="164" fontId="9" fillId="0" borderId="0" xfId="4" applyNumberFormat="1" applyFont="1" applyFill="1" applyBorder="1" applyAlignment="1">
      <alignment horizontal="center"/>
    </xf>
    <xf numFmtId="37" fontId="9" fillId="0" borderId="0" xfId="0" applyNumberFormat="1" applyFont="1" applyFill="1" applyBorder="1"/>
    <xf numFmtId="0" fontId="9" fillId="0" borderId="0" xfId="0" applyFont="1" applyBorder="1" applyAlignment="1">
      <alignment horizontal="center"/>
    </xf>
    <xf numFmtId="37" fontId="9" fillId="0" borderId="0" xfId="0" applyNumberFormat="1" applyFont="1" applyBorder="1"/>
    <xf numFmtId="164" fontId="9" fillId="4" borderId="12" xfId="4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37" fontId="9" fillId="0" borderId="0" xfId="0" applyNumberFormat="1" applyFont="1"/>
    <xf numFmtId="164" fontId="9" fillId="0" borderId="0" xfId="4" applyNumberFormat="1" applyFont="1"/>
    <xf numFmtId="164" fontId="10" fillId="0" borderId="0" xfId="4" applyNumberFormat="1" applyFont="1"/>
    <xf numFmtId="0" fontId="9" fillId="0" borderId="0" xfId="0" applyFont="1"/>
    <xf numFmtId="0" fontId="10" fillId="0" borderId="13" xfId="0" applyFont="1" applyBorder="1"/>
    <xf numFmtId="0" fontId="10" fillId="0" borderId="14" xfId="0" applyFont="1" applyBorder="1"/>
    <xf numFmtId="37" fontId="10" fillId="0" borderId="13" xfId="0" applyNumberFormat="1" applyFont="1" applyBorder="1"/>
    <xf numFmtId="164" fontId="0" fillId="0" borderId="0" xfId="4" applyNumberFormat="1" applyFont="1" applyFill="1" applyBorder="1" applyAlignment="1">
      <alignment horizontal="center"/>
    </xf>
    <xf numFmtId="166" fontId="9" fillId="5" borderId="2" xfId="4" applyNumberFormat="1" applyFont="1" applyFill="1" applyBorder="1"/>
    <xf numFmtId="164" fontId="9" fillId="5" borderId="5" xfId="4" applyNumberFormat="1" applyFont="1" applyFill="1" applyBorder="1" applyAlignment="1">
      <alignment horizontal="center"/>
    </xf>
    <xf numFmtId="164" fontId="0" fillId="0" borderId="5" xfId="4" applyNumberFormat="1" applyFont="1" applyBorder="1" applyAlignment="1">
      <alignment horizontal="center"/>
    </xf>
    <xf numFmtId="164" fontId="36" fillId="0" borderId="0" xfId="4" applyNumberFormat="1" applyFont="1" applyAlignment="1">
      <alignment horizontal="right"/>
    </xf>
    <xf numFmtId="164" fontId="10" fillId="5" borderId="5" xfId="4" applyNumberFormat="1" applyFont="1" applyFill="1" applyBorder="1" applyAlignment="1">
      <alignment horizontal="center"/>
    </xf>
    <xf numFmtId="37" fontId="0" fillId="5" borderId="0" xfId="0" applyNumberFormat="1" applyFont="1" applyFill="1"/>
    <xf numFmtId="2" fontId="21" fillId="0" borderId="0" xfId="4" applyNumberFormat="1" applyFont="1" applyAlignment="1">
      <alignment horizontal="right"/>
    </xf>
    <xf numFmtId="0" fontId="10" fillId="0" borderId="13" xfId="0" applyFont="1" applyBorder="1" applyAlignment="1">
      <alignment horizontal="center"/>
    </xf>
    <xf numFmtId="164" fontId="9" fillId="4" borderId="15" xfId="4" applyNumberFormat="1" applyFont="1" applyFill="1" applyBorder="1" applyAlignment="1">
      <alignment horizontal="center"/>
    </xf>
    <xf numFmtId="166" fontId="9" fillId="5" borderId="0" xfId="4" applyNumberFormat="1" applyFont="1" applyFill="1" applyBorder="1"/>
    <xf numFmtId="164" fontId="10" fillId="0" borderId="13" xfId="4" applyNumberFormat="1" applyFont="1" applyFill="1" applyBorder="1" applyAlignment="1">
      <alignment horizontal="center"/>
    </xf>
    <xf numFmtId="166" fontId="10" fillId="5" borderId="13" xfId="4" applyNumberFormat="1" applyFont="1" applyFill="1" applyBorder="1"/>
    <xf numFmtId="164" fontId="10" fillId="5" borderId="16" xfId="4" applyNumberFormat="1" applyFont="1" applyFill="1" applyBorder="1" applyAlignment="1">
      <alignment horizontal="center"/>
    </xf>
    <xf numFmtId="164" fontId="9" fillId="5" borderId="16" xfId="4" applyNumberFormat="1" applyFont="1" applyFill="1" applyBorder="1" applyAlignment="1">
      <alignment horizontal="center"/>
    </xf>
    <xf numFmtId="164" fontId="10" fillId="0" borderId="16" xfId="4" applyNumberFormat="1" applyFont="1" applyBorder="1" applyAlignment="1">
      <alignment horizontal="center"/>
    </xf>
    <xf numFmtId="164" fontId="36" fillId="0" borderId="13" xfId="4" applyNumberFormat="1" applyFont="1" applyBorder="1" applyAlignment="1">
      <alignment horizontal="right"/>
    </xf>
    <xf numFmtId="0" fontId="0" fillId="0" borderId="13" xfId="0" applyFont="1" applyBorder="1"/>
    <xf numFmtId="164" fontId="10" fillId="0" borderId="14" xfId="4" applyNumberFormat="1" applyFont="1" applyFill="1" applyBorder="1" applyAlignment="1">
      <alignment horizontal="center"/>
    </xf>
    <xf numFmtId="166" fontId="10" fillId="5" borderId="14" xfId="4" applyNumberFormat="1" applyFont="1" applyFill="1" applyBorder="1"/>
    <xf numFmtId="164" fontId="10" fillId="5" borderId="17" xfId="4" applyNumberFormat="1" applyFont="1" applyFill="1" applyBorder="1" applyAlignment="1">
      <alignment horizontal="center"/>
    </xf>
    <xf numFmtId="164" fontId="9" fillId="5" borderId="17" xfId="4" applyNumberFormat="1" applyFont="1" applyFill="1" applyBorder="1" applyAlignment="1">
      <alignment horizontal="center"/>
    </xf>
    <xf numFmtId="164" fontId="10" fillId="0" borderId="17" xfId="4" applyNumberFormat="1" applyFont="1" applyBorder="1" applyAlignment="1">
      <alignment horizontal="center"/>
    </xf>
    <xf numFmtId="164" fontId="36" fillId="0" borderId="14" xfId="4" applyNumberFormat="1" applyFont="1" applyBorder="1" applyAlignment="1">
      <alignment horizontal="right"/>
    </xf>
    <xf numFmtId="0" fontId="0" fillId="0" borderId="14" xfId="0" applyFont="1" applyBorder="1"/>
    <xf numFmtId="0" fontId="37" fillId="0" borderId="0" xfId="0" applyFont="1" applyAlignment="1">
      <alignment horizontal="left"/>
    </xf>
    <xf numFmtId="0" fontId="37" fillId="0" borderId="0" xfId="0" applyFont="1"/>
    <xf numFmtId="0" fontId="12" fillId="0" borderId="0" xfId="0" applyFont="1" applyFill="1"/>
    <xf numFmtId="0" fontId="12" fillId="0" borderId="18" xfId="0" applyFont="1" applyBorder="1"/>
    <xf numFmtId="0" fontId="12" fillId="0" borderId="18" xfId="0" applyFont="1" applyBorder="1" applyAlignment="1">
      <alignment horizontal="center"/>
    </xf>
    <xf numFmtId="0" fontId="16" fillId="0" borderId="0" xfId="0" applyFont="1" applyFill="1" applyAlignment="1">
      <alignment horizontal="center"/>
    </xf>
    <xf numFmtId="0" fontId="12" fillId="6" borderId="0" xfId="0" applyFont="1" applyFill="1" applyAlignment="1">
      <alignment horizontal="center"/>
    </xf>
    <xf numFmtId="0" fontId="12" fillId="8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37" fontId="12" fillId="6" borderId="2" xfId="0" applyNumberFormat="1" applyFont="1" applyFill="1" applyBorder="1"/>
    <xf numFmtId="164" fontId="12" fillId="0" borderId="0" xfId="4" applyNumberFormat="1" applyFont="1" applyAlignment="1">
      <alignment horizontal="center"/>
    </xf>
    <xf numFmtId="37" fontId="12" fillId="8" borderId="2" xfId="0" applyNumberFormat="1" applyFont="1" applyFill="1" applyBorder="1"/>
    <xf numFmtId="37" fontId="12" fillId="8" borderId="0" xfId="0" applyNumberFormat="1" applyFont="1" applyFill="1" applyBorder="1"/>
    <xf numFmtId="0" fontId="5" fillId="0" borderId="13" xfId="0" applyFont="1" applyBorder="1"/>
    <xf numFmtId="37" fontId="5" fillId="0" borderId="13" xfId="0" applyNumberFormat="1" applyFont="1" applyBorder="1"/>
    <xf numFmtId="164" fontId="5" fillId="0" borderId="13" xfId="4" applyNumberFormat="1" applyFont="1" applyBorder="1" applyAlignment="1">
      <alignment horizontal="center"/>
    </xf>
    <xf numFmtId="37" fontId="12" fillId="6" borderId="3" xfId="0" applyNumberFormat="1" applyFont="1" applyFill="1" applyBorder="1"/>
    <xf numFmtId="37" fontId="12" fillId="6" borderId="4" xfId="0" applyNumberFormat="1" applyFont="1" applyFill="1" applyBorder="1"/>
    <xf numFmtId="0" fontId="12" fillId="0" borderId="0" xfId="0" quotePrefix="1" applyFont="1"/>
    <xf numFmtId="37" fontId="12" fillId="0" borderId="4" xfId="0" applyNumberFormat="1" applyFont="1" applyFill="1" applyBorder="1"/>
    <xf numFmtId="0" fontId="5" fillId="0" borderId="14" xfId="0" applyFont="1" applyBorder="1"/>
    <xf numFmtId="37" fontId="5" fillId="0" borderId="14" xfId="0" applyNumberFormat="1" applyFont="1" applyBorder="1"/>
    <xf numFmtId="164" fontId="5" fillId="0" borderId="14" xfId="4" applyNumberFormat="1" applyFont="1" applyBorder="1" applyAlignment="1">
      <alignment horizontal="center"/>
    </xf>
    <xf numFmtId="37" fontId="12" fillId="0" borderId="0" xfId="0" applyNumberFormat="1" applyFont="1"/>
    <xf numFmtId="37" fontId="12" fillId="0" borderId="3" xfId="0" applyNumberFormat="1" applyFont="1" applyFill="1" applyBorder="1"/>
    <xf numFmtId="37" fontId="5" fillId="0" borderId="19" xfId="0" applyNumberFormat="1" applyFont="1" applyBorder="1"/>
    <xf numFmtId="164" fontId="5" fillId="0" borderId="19" xfId="4" applyNumberFormat="1" applyFont="1" applyBorder="1" applyAlignment="1">
      <alignment horizontal="center"/>
    </xf>
    <xf numFmtId="37" fontId="5" fillId="0" borderId="0" xfId="0" applyNumberFormat="1" applyFont="1"/>
    <xf numFmtId="164" fontId="5" fillId="0" borderId="0" xfId="4" applyNumberFormat="1" applyFont="1" applyAlignment="1">
      <alignment horizontal="center"/>
    </xf>
    <xf numFmtId="164" fontId="12" fillId="0" borderId="0" xfId="4" applyNumberFormat="1" applyFont="1"/>
    <xf numFmtId="37" fontId="5" fillId="0" borderId="3" xfId="0" applyNumberFormat="1" applyFont="1" applyFill="1" applyBorder="1"/>
    <xf numFmtId="164" fontId="5" fillId="0" borderId="0" xfId="4" applyNumberFormat="1" applyFont="1"/>
    <xf numFmtId="37" fontId="12" fillId="8" borderId="4" xfId="0" applyNumberFormat="1" applyFont="1" applyFill="1" applyBorder="1"/>
    <xf numFmtId="0" fontId="5" fillId="8" borderId="0" xfId="0" applyFont="1" applyFill="1"/>
    <xf numFmtId="167" fontId="25" fillId="8" borderId="0" xfId="1" applyNumberFormat="1" applyFont="1" applyFill="1"/>
    <xf numFmtId="38" fontId="5" fillId="0" borderId="0" xfId="0" applyNumberFormat="1" applyFont="1"/>
    <xf numFmtId="38" fontId="5" fillId="0" borderId="0" xfId="4" applyNumberFormat="1" applyFont="1" applyAlignment="1">
      <alignment horizontal="center"/>
    </xf>
    <xf numFmtId="38" fontId="5" fillId="0" borderId="0" xfId="4" applyNumberFormat="1" applyFont="1"/>
    <xf numFmtId="38" fontId="12" fillId="0" borderId="0" xfId="0" applyNumberFormat="1" applyFont="1"/>
    <xf numFmtId="38" fontId="12" fillId="0" borderId="0" xfId="0" applyNumberFormat="1" applyFont="1" applyFill="1"/>
    <xf numFmtId="167" fontId="12" fillId="0" borderId="0" xfId="1" applyNumberFormat="1" applyFont="1"/>
    <xf numFmtId="164" fontId="18" fillId="0" borderId="0" xfId="4" applyNumberFormat="1" applyFont="1" applyAlignment="1">
      <alignment horizontal="center"/>
    </xf>
    <xf numFmtId="164" fontId="16" fillId="0" borderId="0" xfId="4" applyNumberFormat="1" applyFont="1" applyAlignment="1">
      <alignment horizontal="center"/>
    </xf>
    <xf numFmtId="164" fontId="26" fillId="0" borderId="13" xfId="4" applyNumberFormat="1" applyFont="1" applyBorder="1" applyAlignment="1">
      <alignment horizontal="center"/>
    </xf>
    <xf numFmtId="164" fontId="16" fillId="0" borderId="13" xfId="4" applyNumberFormat="1" applyFont="1" applyBorder="1" applyAlignment="1">
      <alignment horizontal="center"/>
    </xf>
    <xf numFmtId="164" fontId="26" fillId="0" borderId="14" xfId="4" applyNumberFormat="1" applyFont="1" applyBorder="1" applyAlignment="1">
      <alignment horizontal="center"/>
    </xf>
    <xf numFmtId="164" fontId="26" fillId="0" borderId="19" xfId="4" applyNumberFormat="1" applyFont="1" applyBorder="1" applyAlignment="1">
      <alignment horizontal="center"/>
    </xf>
    <xf numFmtId="167" fontId="0" fillId="0" borderId="0" xfId="1" applyNumberFormat="1" applyFont="1"/>
    <xf numFmtId="167" fontId="12" fillId="0" borderId="0" xfId="1" applyNumberFormat="1" applyFont="1" applyAlignment="1">
      <alignment horizontal="right"/>
    </xf>
    <xf numFmtId="167" fontId="5" fillId="0" borderId="0" xfId="1" applyNumberFormat="1" applyFont="1" applyAlignment="1">
      <alignment horizontal="right"/>
    </xf>
    <xf numFmtId="0" fontId="0" fillId="0" borderId="13" xfId="0" applyBorder="1"/>
    <xf numFmtId="0" fontId="12" fillId="0" borderId="13" xfId="0" applyFont="1" applyBorder="1"/>
    <xf numFmtId="167" fontId="5" fillId="0" borderId="13" xfId="1" applyNumberFormat="1" applyFont="1" applyBorder="1" applyAlignment="1">
      <alignment horizontal="right"/>
    </xf>
    <xf numFmtId="0" fontId="5" fillId="0" borderId="20" xfId="0" applyFont="1" applyBorder="1"/>
    <xf numFmtId="167" fontId="0" fillId="0" borderId="20" xfId="1" applyNumberFormat="1" applyFont="1" applyBorder="1"/>
    <xf numFmtId="167" fontId="12" fillId="0" borderId="20" xfId="1" applyNumberFormat="1" applyFont="1" applyBorder="1"/>
    <xf numFmtId="167" fontId="5" fillId="0" borderId="20" xfId="1" applyNumberFormat="1" applyFont="1" applyBorder="1"/>
    <xf numFmtId="0" fontId="5" fillId="0" borderId="0" xfId="0" applyFont="1" applyBorder="1"/>
    <xf numFmtId="167" fontId="0" fillId="0" borderId="0" xfId="1" applyNumberFormat="1" applyFont="1" applyBorder="1"/>
    <xf numFmtId="167" fontId="12" fillId="0" borderId="0" xfId="1" applyNumberFormat="1" applyFont="1" applyBorder="1"/>
    <xf numFmtId="167" fontId="5" fillId="0" borderId="0" xfId="1" applyNumberFormat="1" applyFont="1" applyBorder="1"/>
    <xf numFmtId="0" fontId="5" fillId="0" borderId="21" xfId="0" applyFont="1" applyBorder="1"/>
    <xf numFmtId="167" fontId="0" fillId="0" borderId="21" xfId="1" applyNumberFormat="1" applyFont="1" applyBorder="1"/>
    <xf numFmtId="167" fontId="12" fillId="0" borderId="21" xfId="1" applyNumberFormat="1" applyFont="1" applyBorder="1"/>
    <xf numFmtId="167" fontId="5" fillId="0" borderId="21" xfId="1" applyNumberFormat="1" applyFont="1" applyBorder="1"/>
    <xf numFmtId="165" fontId="0" fillId="0" borderId="0" xfId="4" applyNumberFormat="1" applyFont="1" applyAlignment="1">
      <alignment horizontal="center"/>
    </xf>
    <xf numFmtId="165" fontId="0" fillId="0" borderId="13" xfId="4" applyNumberFormat="1" applyFont="1" applyBorder="1" applyAlignment="1">
      <alignment horizontal="center"/>
    </xf>
    <xf numFmtId="167" fontId="38" fillId="0" borderId="0" xfId="1" applyNumberFormat="1" applyFont="1"/>
    <xf numFmtId="0" fontId="16" fillId="0" borderId="0" xfId="0" applyFont="1" applyAlignment="1">
      <alignment horizontal="center"/>
    </xf>
    <xf numFmtId="0" fontId="16" fillId="0" borderId="21" xfId="0" applyFont="1" applyBorder="1" applyAlignment="1">
      <alignment horizontal="center"/>
    </xf>
    <xf numFmtId="165" fontId="10" fillId="0" borderId="13" xfId="4" applyNumberFormat="1" applyFont="1" applyBorder="1" applyAlignment="1">
      <alignment horizontal="center"/>
    </xf>
    <xf numFmtId="167" fontId="10" fillId="0" borderId="20" xfId="1" applyNumberFormat="1" applyFont="1" applyBorder="1"/>
    <xf numFmtId="167" fontId="10" fillId="0" borderId="0" xfId="1" applyNumberFormat="1" applyFont="1" applyBorder="1"/>
    <xf numFmtId="167" fontId="10" fillId="0" borderId="21" xfId="1" applyNumberFormat="1" applyFont="1" applyBorder="1"/>
    <xf numFmtId="167" fontId="12" fillId="0" borderId="0" xfId="1" applyNumberFormat="1" applyFont="1" applyFill="1"/>
    <xf numFmtId="0" fontId="0" fillId="0" borderId="0" xfId="0" applyFill="1"/>
    <xf numFmtId="167" fontId="5" fillId="0" borderId="0" xfId="1" applyNumberFormat="1" applyFont="1" applyFill="1"/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6" borderId="0" xfId="0" applyFont="1" applyFill="1" applyAlignment="1">
      <alignment horizontal="center"/>
    </xf>
    <xf numFmtId="0" fontId="6" fillId="0" borderId="0" xfId="0" applyFont="1"/>
    <xf numFmtId="0" fontId="12" fillId="0" borderId="0" xfId="0" applyFont="1" applyBorder="1" applyAlignment="1">
      <alignment horizontal="center"/>
    </xf>
    <xf numFmtId="38" fontId="27" fillId="0" borderId="0" xfId="0" applyNumberFormat="1" applyFont="1"/>
    <xf numFmtId="0" fontId="5" fillId="0" borderId="18" xfId="0" applyFont="1" applyBorder="1" applyAlignment="1">
      <alignment horizontal="left"/>
    </xf>
    <xf numFmtId="1" fontId="12" fillId="0" borderId="18" xfId="0" applyNumberFormat="1" applyFont="1" applyBorder="1"/>
    <xf numFmtId="0" fontId="12" fillId="0" borderId="22" xfId="0" applyFont="1" applyBorder="1"/>
    <xf numFmtId="0" fontId="5" fillId="0" borderId="18" xfId="0" applyFont="1" applyBorder="1"/>
    <xf numFmtId="0" fontId="12" fillId="0" borderId="0" xfId="0" applyFont="1" applyBorder="1"/>
    <xf numFmtId="1" fontId="12" fillId="0" borderId="0" xfId="0" applyNumberFormat="1" applyFont="1" applyBorder="1"/>
    <xf numFmtId="167" fontId="28" fillId="0" borderId="0" xfId="1" applyNumberFormat="1" applyFont="1" applyFill="1"/>
    <xf numFmtId="164" fontId="29" fillId="0" borderId="0" xfId="4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12" fillId="0" borderId="18" xfId="0" applyFont="1" applyFill="1" applyBorder="1" applyAlignment="1">
      <alignment horizontal="center"/>
    </xf>
    <xf numFmtId="0" fontId="12" fillId="6" borderId="0" xfId="0" applyFont="1" applyFill="1" applyAlignment="1">
      <alignment horizontal="center"/>
    </xf>
    <xf numFmtId="167" fontId="0" fillId="0" borderId="0" xfId="2" applyNumberFormat="1" applyFont="1"/>
    <xf numFmtId="37" fontId="12" fillId="0" borderId="27" xfId="0" applyNumberFormat="1" applyFont="1" applyBorder="1"/>
    <xf numFmtId="37" fontId="5" fillId="0" borderId="0" xfId="0" applyNumberFormat="1" applyFont="1" applyBorder="1"/>
    <xf numFmtId="37" fontId="12" fillId="0" borderId="0" xfId="0" applyNumberFormat="1" applyFont="1" applyBorder="1"/>
    <xf numFmtId="168" fontId="5" fillId="0" borderId="20" xfId="1" applyNumberFormat="1" applyFont="1" applyBorder="1"/>
    <xf numFmtId="168" fontId="5" fillId="0" borderId="0" xfId="1" applyNumberFormat="1" applyFont="1" applyBorder="1"/>
    <xf numFmtId="168" fontId="5" fillId="0" borderId="21" xfId="1" applyNumberFormat="1" applyFont="1" applyBorder="1"/>
    <xf numFmtId="168" fontId="12" fillId="0" borderId="0" xfId="1" applyNumberFormat="1" applyFont="1"/>
    <xf numFmtId="37" fontId="12" fillId="9" borderId="28" xfId="0" applyNumberFormat="1" applyFont="1" applyFill="1" applyBorder="1"/>
    <xf numFmtId="37" fontId="12" fillId="9" borderId="29" xfId="0" applyNumberFormat="1" applyFont="1" applyFill="1" applyBorder="1"/>
    <xf numFmtId="37" fontId="12" fillId="9" borderId="27" xfId="0" applyNumberFormat="1" applyFont="1" applyFill="1" applyBorder="1"/>
    <xf numFmtId="37" fontId="12" fillId="9" borderId="30" xfId="0" applyNumberFormat="1" applyFont="1" applyFill="1" applyBorder="1"/>
    <xf numFmtId="37" fontId="12" fillId="6" borderId="1" xfId="0" applyNumberFormat="1" applyFont="1" applyFill="1" applyBorder="1"/>
    <xf numFmtId="167" fontId="5" fillId="6" borderId="0" xfId="1" applyNumberFormat="1" applyFont="1" applyFill="1"/>
    <xf numFmtId="0" fontId="30" fillId="0" borderId="0" xfId="0" applyFont="1"/>
    <xf numFmtId="0" fontId="32" fillId="0" borderId="0" xfId="0" applyFont="1"/>
    <xf numFmtId="164" fontId="32" fillId="0" borderId="0" xfId="4" applyNumberFormat="1" applyFont="1" applyAlignment="1">
      <alignment horizontal="center"/>
    </xf>
    <xf numFmtId="0" fontId="32" fillId="3" borderId="0" xfId="0" applyFont="1" applyFill="1" applyAlignment="1">
      <alignment horizontal="center" wrapText="1"/>
    </xf>
    <xf numFmtId="0" fontId="32" fillId="0" borderId="0" xfId="0" applyFont="1" applyAlignment="1">
      <alignment horizontal="center"/>
    </xf>
    <xf numFmtId="37" fontId="30" fillId="0" borderId="1" xfId="0" applyNumberFormat="1" applyFont="1" applyFill="1" applyBorder="1"/>
    <xf numFmtId="164" fontId="30" fillId="0" borderId="0" xfId="4" applyNumberFormat="1" applyFont="1"/>
    <xf numFmtId="37" fontId="30" fillId="0" borderId="6" xfId="0" applyNumberFormat="1" applyFont="1" applyFill="1" applyBorder="1"/>
    <xf numFmtId="0" fontId="14" fillId="0" borderId="23" xfId="0" applyFont="1" applyBorder="1"/>
    <xf numFmtId="37" fontId="14" fillId="0" borderId="24" xfId="0" applyNumberFormat="1" applyFont="1" applyFill="1" applyBorder="1"/>
    <xf numFmtId="0" fontId="14" fillId="0" borderId="0" xfId="0" applyFont="1"/>
    <xf numFmtId="37" fontId="14" fillId="0" borderId="1" xfId="0" applyNumberFormat="1" applyFont="1" applyFill="1" applyBorder="1"/>
    <xf numFmtId="0" fontId="14" fillId="0" borderId="13" xfId="0" applyFont="1" applyBorder="1"/>
    <xf numFmtId="0" fontId="14" fillId="0" borderId="14" xfId="0" applyFont="1" applyBorder="1"/>
    <xf numFmtId="37" fontId="14" fillId="0" borderId="25" xfId="0" applyNumberFormat="1" applyFont="1" applyFill="1" applyBorder="1"/>
    <xf numFmtId="37" fontId="30" fillId="0" borderId="0" xfId="0" applyNumberFormat="1" applyFont="1" applyFill="1" applyBorder="1"/>
    <xf numFmtId="37" fontId="30" fillId="0" borderId="12" xfId="0" applyNumberFormat="1" applyFont="1" applyFill="1" applyBorder="1"/>
    <xf numFmtId="38" fontId="14" fillId="0" borderId="0" xfId="4" applyNumberFormat="1" applyFont="1" applyBorder="1"/>
    <xf numFmtId="38" fontId="14" fillId="0" borderId="0" xfId="0" applyNumberFormat="1" applyFont="1" applyFill="1"/>
    <xf numFmtId="0" fontId="14" fillId="0" borderId="0" xfId="0" applyFont="1" applyFill="1"/>
    <xf numFmtId="9" fontId="30" fillId="0" borderId="0" xfId="4" applyNumberFormat="1" applyFont="1" applyFill="1" applyAlignment="1">
      <alignment horizontal="center"/>
    </xf>
    <xf numFmtId="9" fontId="14" fillId="0" borderId="13" xfId="4" applyNumberFormat="1" applyFont="1" applyFill="1" applyBorder="1" applyAlignment="1">
      <alignment horizontal="center"/>
    </xf>
    <xf numFmtId="9" fontId="14" fillId="0" borderId="14" xfId="4" applyNumberFormat="1" applyFont="1" applyFill="1" applyBorder="1" applyAlignment="1">
      <alignment horizontal="center"/>
    </xf>
    <xf numFmtId="9" fontId="30" fillId="0" borderId="0" xfId="4" applyNumberFormat="1" applyFont="1" applyFill="1" applyBorder="1" applyAlignment="1">
      <alignment horizontal="center"/>
    </xf>
    <xf numFmtId="9" fontId="30" fillId="0" borderId="0" xfId="4" applyNumberFormat="1" applyFont="1" applyAlignment="1">
      <alignment horizontal="center"/>
    </xf>
    <xf numFmtId="9" fontId="14" fillId="0" borderId="13" xfId="4" applyNumberFormat="1" applyFont="1" applyBorder="1" applyAlignment="1">
      <alignment horizontal="center"/>
    </xf>
    <xf numFmtId="9" fontId="14" fillId="0" borderId="14" xfId="4" applyNumberFormat="1" applyFont="1" applyBorder="1" applyAlignment="1">
      <alignment horizontal="center"/>
    </xf>
    <xf numFmtId="9" fontId="30" fillId="0" borderId="0" xfId="4" applyNumberFormat="1" applyFont="1" applyBorder="1" applyAlignment="1">
      <alignment horizontal="center"/>
    </xf>
    <xf numFmtId="0" fontId="14" fillId="8" borderId="0" xfId="0" applyFont="1" applyFill="1"/>
    <xf numFmtId="38" fontId="14" fillId="8" borderId="0" xfId="0" applyNumberFormat="1" applyFont="1" applyFill="1" applyBorder="1"/>
    <xf numFmtId="38" fontId="14" fillId="8" borderId="0" xfId="4" applyNumberFormat="1" applyFont="1" applyFill="1" applyBorder="1" applyAlignment="1">
      <alignment horizontal="center"/>
    </xf>
    <xf numFmtId="38" fontId="14" fillId="8" borderId="0" xfId="4" applyNumberFormat="1" applyFont="1" applyFill="1" applyBorder="1"/>
    <xf numFmtId="37" fontId="30" fillId="8" borderId="1" xfId="0" applyNumberFormat="1" applyFont="1" applyFill="1" applyBorder="1"/>
    <xf numFmtId="0" fontId="6" fillId="0" borderId="0" xfId="0" applyFont="1" applyAlignment="1">
      <alignment horizontal="center"/>
    </xf>
    <xf numFmtId="0" fontId="29" fillId="5" borderId="0" xfId="0" quotePrefix="1" applyFont="1" applyFill="1" applyAlignment="1">
      <alignment horizontal="center" wrapText="1"/>
    </xf>
    <xf numFmtId="0" fontId="12" fillId="0" borderId="0" xfId="0" quotePrefix="1" applyFont="1" applyAlignment="1">
      <alignment horizontal="center"/>
    </xf>
    <xf numFmtId="0" fontId="29" fillId="4" borderId="0" xfId="0" applyFont="1" applyFill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37" fontId="2" fillId="10" borderId="0" xfId="0" applyNumberFormat="1" applyFont="1" applyFill="1" applyBorder="1"/>
    <xf numFmtId="37" fontId="4" fillId="10" borderId="16" xfId="0" applyNumberFormat="1" applyFont="1" applyFill="1" applyBorder="1"/>
    <xf numFmtId="37" fontId="2" fillId="10" borderId="0" xfId="0" applyNumberFormat="1" applyFont="1" applyFill="1"/>
    <xf numFmtId="37" fontId="4" fillId="10" borderId="0" xfId="0" applyNumberFormat="1" applyFont="1" applyFill="1"/>
    <xf numFmtId="0" fontId="2" fillId="10" borderId="0" xfId="0" applyFont="1" applyFill="1"/>
    <xf numFmtId="37" fontId="9" fillId="10" borderId="0" xfId="0" applyNumberFormat="1" applyFont="1" applyFill="1" applyBorder="1"/>
    <xf numFmtId="37" fontId="10" fillId="10" borderId="16" xfId="0" applyNumberFormat="1" applyFont="1" applyFill="1" applyBorder="1"/>
    <xf numFmtId="37" fontId="9" fillId="10" borderId="0" xfId="0" applyNumberFormat="1" applyFont="1" applyFill="1"/>
    <xf numFmtId="37" fontId="10" fillId="10" borderId="0" xfId="0" applyNumberFormat="1" applyFont="1" applyFill="1"/>
    <xf numFmtId="0" fontId="9" fillId="10" borderId="0" xfId="0" applyFont="1" applyFill="1"/>
    <xf numFmtId="0" fontId="34" fillId="8" borderId="0" xfId="0" applyFont="1" applyFill="1" applyAlignment="1">
      <alignment horizontal="center" wrapText="1"/>
    </xf>
    <xf numFmtId="167" fontId="12" fillId="6" borderId="26" xfId="2" applyNumberFormat="1" applyFont="1" applyFill="1" applyBorder="1"/>
    <xf numFmtId="167" fontId="12" fillId="6" borderId="26" xfId="1" applyNumberFormat="1" applyFont="1" applyFill="1" applyBorder="1"/>
    <xf numFmtId="167" fontId="28" fillId="6" borderId="26" xfId="2" applyNumberFormat="1" applyFont="1" applyFill="1" applyBorder="1"/>
    <xf numFmtId="167" fontId="28" fillId="6" borderId="26" xfId="1" applyNumberFormat="1" applyFont="1" applyFill="1" applyBorder="1"/>
    <xf numFmtId="167" fontId="12" fillId="0" borderId="26" xfId="1" applyNumberFormat="1" applyFont="1" applyFill="1" applyBorder="1"/>
    <xf numFmtId="0" fontId="14" fillId="0" borderId="0" xfId="0" applyFont="1" applyAlignment="1">
      <alignment horizontal="left"/>
    </xf>
    <xf numFmtId="168" fontId="12" fillId="0" borderId="0" xfId="0" applyNumberFormat="1" applyFont="1"/>
    <xf numFmtId="168" fontId="12" fillId="0" borderId="0" xfId="0" applyNumberFormat="1" applyFont="1" applyAlignment="1">
      <alignment horizontal="center"/>
    </xf>
    <xf numFmtId="168" fontId="12" fillId="0" borderId="18" xfId="0" applyNumberFormat="1" applyFont="1" applyBorder="1"/>
    <xf numFmtId="168" fontId="12" fillId="0" borderId="18" xfId="0" applyNumberFormat="1" applyFont="1" applyBorder="1" applyAlignment="1">
      <alignment horizontal="center"/>
    </xf>
    <xf numFmtId="168" fontId="12" fillId="0" borderId="22" xfId="0" applyNumberFormat="1" applyFont="1" applyBorder="1"/>
    <xf numFmtId="168" fontId="12" fillId="0" borderId="22" xfId="0" applyNumberFormat="1" applyFont="1" applyBorder="1" applyAlignment="1">
      <alignment horizontal="center"/>
    </xf>
    <xf numFmtId="168" fontId="11" fillId="0" borderId="0" xfId="0" applyNumberFormat="1" applyFont="1"/>
    <xf numFmtId="9" fontId="12" fillId="0" borderId="18" xfId="4" applyFont="1" applyBorder="1"/>
    <xf numFmtId="169" fontId="39" fillId="0" borderId="0" xfId="3" applyNumberFormat="1" applyFont="1" applyFill="1"/>
    <xf numFmtId="37" fontId="5" fillId="11" borderId="0" xfId="0" applyNumberFormat="1" applyFont="1" applyFill="1"/>
    <xf numFmtId="37" fontId="12" fillId="0" borderId="4" xfId="0" applyNumberFormat="1" applyFont="1" applyBorder="1"/>
    <xf numFmtId="168" fontId="40" fillId="6" borderId="0" xfId="1" applyNumberFormat="1" applyFont="1" applyFill="1"/>
    <xf numFmtId="37" fontId="13" fillId="8" borderId="4" xfId="0" applyNumberFormat="1" applyFont="1" applyFill="1" applyBorder="1"/>
    <xf numFmtId="38" fontId="40" fillId="6" borderId="0" xfId="1" applyNumberFormat="1" applyFont="1" applyFill="1"/>
    <xf numFmtId="0" fontId="5" fillId="0" borderId="0" xfId="0" applyFont="1" applyAlignment="1">
      <alignment horizontal="center"/>
    </xf>
    <xf numFmtId="0" fontId="41" fillId="0" borderId="0" xfId="0" applyFont="1" applyAlignment="1">
      <alignment horizontal="left"/>
    </xf>
    <xf numFmtId="0" fontId="42" fillId="0" borderId="0" xfId="0" applyFont="1" applyAlignment="1">
      <alignment horizontal="left"/>
    </xf>
    <xf numFmtId="0" fontId="43" fillId="0" borderId="0" xfId="0" applyFont="1" applyAlignment="1">
      <alignment horizontal="left"/>
    </xf>
    <xf numFmtId="0" fontId="12" fillId="0" borderId="0" xfId="0" quotePrefix="1" applyFont="1" applyAlignment="1">
      <alignment wrapText="1"/>
    </xf>
    <xf numFmtId="0" fontId="12" fillId="0" borderId="0" xfId="0" applyFont="1" applyAlignment="1">
      <alignment wrapText="1"/>
    </xf>
    <xf numFmtId="0" fontId="42" fillId="0" borderId="0" xfId="0" applyFont="1"/>
    <xf numFmtId="0" fontId="43" fillId="0" borderId="0" xfId="0" applyFont="1"/>
    <xf numFmtId="0" fontId="12" fillId="0" borderId="0" xfId="0" quotePrefix="1" applyFont="1" applyAlignment="1">
      <alignment horizontal="center" wrapText="1"/>
    </xf>
    <xf numFmtId="0" fontId="5" fillId="0" borderId="0" xfId="0" applyFont="1" applyAlignment="1">
      <alignment wrapText="1"/>
    </xf>
    <xf numFmtId="0" fontId="44" fillId="0" borderId="0" xfId="0" applyFont="1" applyAlignment="1">
      <alignment horizontal="center"/>
    </xf>
    <xf numFmtId="0" fontId="5" fillId="0" borderId="0" xfId="0" applyFont="1" applyFill="1"/>
    <xf numFmtId="0" fontId="5" fillId="0" borderId="0" xfId="0" applyFont="1" applyFill="1" applyBorder="1"/>
    <xf numFmtId="0" fontId="12" fillId="0" borderId="0" xfId="0" applyFont="1" applyFill="1" applyBorder="1"/>
    <xf numFmtId="0" fontId="12" fillId="0" borderId="0" xfId="0" applyFont="1" applyFill="1" applyBorder="1" applyAlignment="1">
      <alignment horizontal="center" vertical="center"/>
    </xf>
    <xf numFmtId="0" fontId="44" fillId="0" borderId="0" xfId="0" applyFont="1"/>
    <xf numFmtId="0" fontId="45" fillId="0" borderId="0" xfId="0" applyFont="1"/>
    <xf numFmtId="0" fontId="45" fillId="8" borderId="31" xfId="0" applyFont="1" applyFill="1" applyBorder="1"/>
    <xf numFmtId="0" fontId="46" fillId="0" borderId="0" xfId="0" applyFont="1"/>
    <xf numFmtId="0" fontId="45" fillId="12" borderId="31" xfId="0" applyFont="1" applyFill="1" applyBorder="1"/>
    <xf numFmtId="167" fontId="45" fillId="6" borderId="26" xfId="2" applyNumberFormat="1" applyFont="1" applyFill="1" applyBorder="1"/>
    <xf numFmtId="0" fontId="48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center" wrapText="1"/>
    </xf>
    <xf numFmtId="164" fontId="11" fillId="0" borderId="0" xfId="4" applyNumberFormat="1" applyFont="1" applyAlignment="1">
      <alignment horizontal="center"/>
    </xf>
    <xf numFmtId="0" fontId="48" fillId="0" borderId="0" xfId="0" applyFont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37" fontId="5" fillId="6" borderId="2" xfId="0" applyNumberFormat="1" applyFont="1" applyFill="1" applyBorder="1"/>
    <xf numFmtId="37" fontId="5" fillId="0" borderId="6" xfId="0" applyNumberFormat="1" applyFont="1" applyFill="1" applyBorder="1"/>
    <xf numFmtId="164" fontId="5" fillId="0" borderId="0" xfId="4" applyNumberFormat="1" applyFont="1" applyFill="1" applyAlignment="1">
      <alignment horizontal="center"/>
    </xf>
    <xf numFmtId="37" fontId="5" fillId="0" borderId="0" xfId="0" applyNumberFormat="1" applyFont="1" applyFill="1" applyBorder="1"/>
    <xf numFmtId="37" fontId="12" fillId="0" borderId="0" xfId="0" applyNumberFormat="1" applyFont="1" applyFill="1" applyBorder="1"/>
    <xf numFmtId="37" fontId="12" fillId="6" borderId="0" xfId="0" applyNumberFormat="1" applyFont="1" applyFill="1"/>
    <xf numFmtId="37" fontId="12" fillId="6" borderId="0" xfId="0" applyNumberFormat="1" applyFont="1" applyFill="1" applyBorder="1"/>
    <xf numFmtId="0" fontId="5" fillId="0" borderId="7" xfId="0" applyFont="1" applyBorder="1"/>
    <xf numFmtId="37" fontId="5" fillId="0" borderId="7" xfId="0" applyNumberFormat="1" applyFont="1" applyBorder="1"/>
    <xf numFmtId="164" fontId="12" fillId="0" borderId="7" xfId="4" applyNumberFormat="1" applyFont="1" applyBorder="1" applyAlignment="1">
      <alignment horizontal="center"/>
    </xf>
    <xf numFmtId="164" fontId="5" fillId="0" borderId="7" xfId="4" applyNumberFormat="1" applyFont="1" applyBorder="1" applyAlignment="1">
      <alignment horizontal="center"/>
    </xf>
    <xf numFmtId="37" fontId="5" fillId="0" borderId="7" xfId="0" applyNumberFormat="1" applyFont="1" applyFill="1" applyBorder="1"/>
    <xf numFmtId="1" fontId="12" fillId="0" borderId="0" xfId="1" applyNumberFormat="1" applyFont="1" applyAlignment="1">
      <alignment horizontal="center"/>
    </xf>
    <xf numFmtId="164" fontId="12" fillId="0" borderId="2" xfId="4" applyNumberFormat="1" applyFont="1" applyFill="1" applyBorder="1"/>
    <xf numFmtId="37" fontId="5" fillId="0" borderId="0" xfId="4" applyNumberFormat="1" applyFont="1" applyAlignment="1">
      <alignment horizontal="right"/>
    </xf>
    <xf numFmtId="164" fontId="12" fillId="0" borderId="0" xfId="4" applyNumberFormat="1" applyFont="1" applyFill="1" applyAlignment="1">
      <alignment horizontal="center"/>
    </xf>
    <xf numFmtId="164" fontId="11" fillId="0" borderId="0" xfId="4" applyNumberFormat="1" applyFont="1" applyFill="1" applyAlignment="1">
      <alignment horizontal="center"/>
    </xf>
    <xf numFmtId="0" fontId="48" fillId="0" borderId="0" xfId="4" applyNumberFormat="1" applyFont="1" applyFill="1" applyAlignment="1">
      <alignment horizontal="center"/>
    </xf>
    <xf numFmtId="37" fontId="5" fillId="0" borderId="4" xfId="0" applyNumberFormat="1" applyFont="1" applyFill="1" applyBorder="1"/>
    <xf numFmtId="37" fontId="25" fillId="0" borderId="4" xfId="0" applyNumberFormat="1" applyFont="1" applyFill="1" applyBorder="1" applyAlignment="1">
      <alignment vertical="center"/>
    </xf>
    <xf numFmtId="37" fontId="25" fillId="8" borderId="4" xfId="0" applyNumberFormat="1" applyFont="1" applyFill="1" applyBorder="1"/>
    <xf numFmtId="37" fontId="25" fillId="0" borderId="4" xfId="0" applyNumberFormat="1" applyFont="1" applyFill="1" applyBorder="1"/>
    <xf numFmtId="164" fontId="49" fillId="0" borderId="0" xfId="4" applyNumberFormat="1" applyFont="1" applyAlignment="1">
      <alignment horizontal="center"/>
    </xf>
    <xf numFmtId="37" fontId="25" fillId="0" borderId="0" xfId="0" applyNumberFormat="1" applyFont="1" applyFill="1" applyBorder="1"/>
    <xf numFmtId="164" fontId="25" fillId="0" borderId="0" xfId="4" applyNumberFormat="1" applyFont="1" applyAlignment="1">
      <alignment horizontal="center"/>
    </xf>
    <xf numFmtId="38" fontId="50" fillId="0" borderId="4" xfId="3" applyNumberFormat="1" applyFont="1" applyFill="1" applyBorder="1"/>
    <xf numFmtId="38" fontId="12" fillId="0" borderId="4" xfId="3" applyNumberFormat="1" applyFont="1" applyFill="1" applyBorder="1"/>
    <xf numFmtId="164" fontId="5" fillId="0" borderId="0" xfId="4" applyNumberFormat="1" applyFont="1" applyFill="1"/>
    <xf numFmtId="37" fontId="44" fillId="6" borderId="3" xfId="0" applyNumberFormat="1" applyFont="1" applyFill="1" applyBorder="1"/>
    <xf numFmtId="167" fontId="12" fillId="5" borderId="13" xfId="1" applyNumberFormat="1" applyFont="1" applyFill="1" applyBorder="1"/>
    <xf numFmtId="168" fontId="12" fillId="6" borderId="13" xfId="1" applyNumberFormat="1" applyFont="1" applyFill="1" applyBorder="1"/>
    <xf numFmtId="9" fontId="12" fillId="6" borderId="13" xfId="0" applyNumberFormat="1" applyFont="1" applyFill="1" applyBorder="1"/>
    <xf numFmtId="0" fontId="12" fillId="5" borderId="13" xfId="0" applyFont="1" applyFill="1" applyBorder="1"/>
    <xf numFmtId="168" fontId="12" fillId="5" borderId="13" xfId="0" applyNumberFormat="1" applyFont="1" applyFill="1" applyBorder="1"/>
    <xf numFmtId="168" fontId="12" fillId="0" borderId="13" xfId="1" applyNumberFormat="1" applyFont="1" applyBorder="1"/>
    <xf numFmtId="9" fontId="12" fillId="0" borderId="13" xfId="0" applyNumberFormat="1" applyFont="1" applyBorder="1"/>
    <xf numFmtId="168" fontId="12" fillId="0" borderId="20" xfId="0" applyNumberFormat="1" applyFont="1" applyBorder="1"/>
    <xf numFmtId="0" fontId="12" fillId="0" borderId="20" xfId="0" applyFont="1" applyBorder="1"/>
    <xf numFmtId="168" fontId="14" fillId="8" borderId="31" xfId="0" applyNumberFormat="1" applyFont="1" applyFill="1" applyBorder="1"/>
    <xf numFmtId="37" fontId="2" fillId="0" borderId="3" xfId="0" applyNumberFormat="1" applyFont="1" applyFill="1" applyBorder="1"/>
    <xf numFmtId="37" fontId="9" fillId="13" borderId="4" xfId="0" applyNumberFormat="1" applyFont="1" applyFill="1" applyBorder="1"/>
    <xf numFmtId="0" fontId="14" fillId="8" borderId="0" xfId="0" applyFont="1" applyFill="1" applyAlignment="1">
      <alignment horizontal="center"/>
    </xf>
    <xf numFmtId="0" fontId="10" fillId="0" borderId="0" xfId="0" applyFont="1" applyAlignment="1">
      <alignment horizontal="right"/>
    </xf>
    <xf numFmtId="0" fontId="51" fillId="0" borderId="0" xfId="0" applyFont="1"/>
    <xf numFmtId="0" fontId="5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4" fillId="0" borderId="0" xfId="0" quotePrefix="1" applyFont="1" applyAlignment="1">
      <alignment wrapText="1"/>
    </xf>
    <xf numFmtId="0" fontId="1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3" fillId="0" borderId="0" xfId="0" applyFont="1" applyAlignment="1">
      <alignment horizontal="left"/>
    </xf>
    <xf numFmtId="0" fontId="54" fillId="0" borderId="0" xfId="0" applyFont="1" applyAlignment="1">
      <alignment horizontal="center"/>
    </xf>
    <xf numFmtId="168" fontId="55" fillId="6" borderId="26" xfId="1" applyNumberFormat="1" applyFont="1" applyFill="1" applyBorder="1" applyAlignment="1">
      <alignment horizontal="center"/>
    </xf>
    <xf numFmtId="0" fontId="54" fillId="0" borderId="0" xfId="0" applyFont="1"/>
    <xf numFmtId="0" fontId="30" fillId="0" borderId="18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14" fillId="0" borderId="18" xfId="0" applyFont="1" applyBorder="1" applyAlignment="1">
      <alignment horizontal="center"/>
    </xf>
    <xf numFmtId="6" fontId="30" fillId="0" borderId="0" xfId="0" applyNumberFormat="1" applyFont="1"/>
    <xf numFmtId="168" fontId="30" fillId="6" borderId="26" xfId="1" applyNumberFormat="1" applyFont="1" applyFill="1" applyBorder="1" applyAlignment="1">
      <alignment horizontal="center"/>
    </xf>
    <xf numFmtId="168" fontId="14" fillId="0" borderId="0" xfId="0" applyNumberFormat="1" applyFont="1" applyAlignment="1">
      <alignment horizontal="center"/>
    </xf>
    <xf numFmtId="168" fontId="14" fillId="0" borderId="0" xfId="1" applyNumberFormat="1" applyFont="1" applyFill="1" applyBorder="1"/>
    <xf numFmtId="168" fontId="30" fillId="0" borderId="0" xfId="1" applyNumberFormat="1" applyFont="1" applyFill="1" applyBorder="1"/>
    <xf numFmtId="168" fontId="30" fillId="0" borderId="26" xfId="1" applyNumberFormat="1" applyFont="1" applyFill="1" applyBorder="1" applyAlignment="1">
      <alignment horizontal="center"/>
    </xf>
    <xf numFmtId="6" fontId="30" fillId="0" borderId="26" xfId="0" applyNumberFormat="1" applyFont="1" applyBorder="1"/>
    <xf numFmtId="6" fontId="14" fillId="8" borderId="0" xfId="0" applyNumberFormat="1" applyFont="1" applyFill="1"/>
    <xf numFmtId="6" fontId="14" fillId="0" borderId="0" xfId="0" applyNumberFormat="1" applyFont="1"/>
    <xf numFmtId="168" fontId="14" fillId="8" borderId="0" xfId="0" applyNumberFormat="1" applyFont="1" applyFill="1" applyAlignment="1">
      <alignment horizontal="center"/>
    </xf>
    <xf numFmtId="168" fontId="14" fillId="8" borderId="0" xfId="0" applyNumberFormat="1" applyFont="1" applyFill="1"/>
    <xf numFmtId="6" fontId="30" fillId="8" borderId="26" xfId="0" applyNumberFormat="1" applyFont="1" applyFill="1" applyBorder="1"/>
    <xf numFmtId="168" fontId="30" fillId="6" borderId="26" xfId="1" applyNumberFormat="1" applyFont="1" applyFill="1" applyBorder="1"/>
    <xf numFmtId="0" fontId="44" fillId="0" borderId="18" xfId="0" applyFont="1" applyBorder="1" applyAlignment="1">
      <alignment horizontal="center"/>
    </xf>
    <xf numFmtId="6" fontId="30" fillId="14" borderId="26" xfId="0" applyNumberFormat="1" applyFont="1" applyFill="1" applyBorder="1"/>
    <xf numFmtId="6" fontId="30" fillId="6" borderId="26" xfId="1" applyNumberFormat="1" applyFont="1" applyFill="1" applyBorder="1" applyAlignment="1">
      <alignment horizontal="center"/>
    </xf>
    <xf numFmtId="6" fontId="14" fillId="0" borderId="0" xfId="0" applyNumberFormat="1" applyFont="1" applyAlignment="1">
      <alignment horizontal="center"/>
    </xf>
    <xf numFmtId="6" fontId="12" fillId="0" borderId="0" xfId="0" applyNumberFormat="1" applyFont="1"/>
    <xf numFmtId="167" fontId="30" fillId="6" borderId="26" xfId="1" applyNumberFormat="1" applyFont="1" applyFill="1" applyBorder="1" applyAlignment="1">
      <alignment horizontal="center"/>
    </xf>
    <xf numFmtId="167" fontId="14" fillId="0" borderId="0" xfId="1" applyNumberFormat="1" applyFont="1" applyAlignment="1">
      <alignment horizontal="center"/>
    </xf>
    <xf numFmtId="6" fontId="14" fillId="8" borderId="26" xfId="0" applyNumberFormat="1" applyFont="1" applyFill="1" applyBorder="1"/>
    <xf numFmtId="167" fontId="30" fillId="0" borderId="0" xfId="1" applyNumberFormat="1" applyFont="1" applyFill="1" applyBorder="1"/>
    <xf numFmtId="0" fontId="14" fillId="6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30" fillId="6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/>
    </xf>
    <xf numFmtId="164" fontId="30" fillId="7" borderId="0" xfId="0" applyNumberFormat="1" applyFont="1" applyFill="1" applyAlignment="1">
      <alignment horizontal="center"/>
    </xf>
    <xf numFmtId="164" fontId="30" fillId="5" borderId="0" xfId="4" applyNumberFormat="1" applyFont="1" applyFill="1" applyAlignment="1">
      <alignment horizontal="left"/>
    </xf>
    <xf numFmtId="1" fontId="30" fillId="6" borderId="0" xfId="4" applyNumberFormat="1" applyFont="1" applyFill="1" applyAlignment="1">
      <alignment horizontal="center"/>
    </xf>
    <xf numFmtId="164" fontId="30" fillId="6" borderId="0" xfId="4" applyNumberFormat="1" applyFont="1" applyFill="1" applyAlignment="1">
      <alignment horizontal="center"/>
    </xf>
    <xf numFmtId="49" fontId="30" fillId="0" borderId="0" xfId="0" applyNumberFormat="1" applyFont="1" applyAlignment="1"/>
  </cellXfs>
  <cellStyles count="6">
    <cellStyle name="Comma" xfId="1" builtinId="3"/>
    <cellStyle name="Comma 2" xfId="2" xr:uid="{00000000-0005-0000-0000-000001000000}"/>
    <cellStyle name="Currency" xfId="3" builtinId="4"/>
    <cellStyle name="Normal" xfId="0" builtinId="0"/>
    <cellStyle name="Percent" xfId="4" builtinId="5"/>
    <cellStyle name="Percent 2" xfId="5" xr:uid="{00000000-0005-0000-0000-000005000000}"/>
  </cellStyles>
  <dxfs count="1">
    <dxf>
      <font>
        <color rgb="FF9C0006"/>
      </font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DA3400"/>
      <rgbColor rgb="00339966"/>
      <rgbColor rgb="00F7E9E7"/>
      <rgbColor rgb="00EECFCD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ckclark/My%20Files/Scouts%20Area%203/5%20Year%20Modeling%202021/Model%202021/E-1%20-Sample%205%20Year%20Plan%20Membership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odel%20for%20Capital%20&amp;%20Camp%20Golden%20Empire%205%20Year%20Plan%20Membership%20%20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Color Guide"/>
      <sheetName val="Setup"/>
      <sheetName val="Membership History and Planning"/>
      <sheetName val="Council Fees"/>
      <sheetName val="A. History Input &amp; Output"/>
      <sheetName val="B. Historical Growth"/>
      <sheetName val="C. Endowment Investments"/>
      <sheetName val="D. Growth Plan"/>
      <sheetName val="E. Output"/>
    </sheetNames>
    <sheetDataSet>
      <sheetData sheetId="0"/>
      <sheetData sheetId="1"/>
      <sheetData sheetId="2">
        <row r="4">
          <cell r="B4">
            <v>2021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heet2"/>
      <sheetName val="Color Guide"/>
      <sheetName val="Setup"/>
      <sheetName val="Membership History and Planning"/>
      <sheetName val="Council Program Fees"/>
      <sheetName val="A. History Input &amp; Output"/>
      <sheetName val="B. Historical Growth"/>
      <sheetName val="C. Endowment Investments"/>
      <sheetName val="Capital Fund -Camping"/>
      <sheetName val="D. Growth Plan"/>
      <sheetName val="E. Output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>
        <row r="4">
          <cell r="G4">
            <v>2018</v>
          </cell>
          <cell r="I4">
            <v>2019</v>
          </cell>
          <cell r="K4">
            <v>2020</v>
          </cell>
          <cell r="M4">
            <v>2021</v>
          </cell>
          <cell r="O4">
            <v>2022</v>
          </cell>
          <cell r="U4">
            <v>2024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C65"/>
  <sheetViews>
    <sheetView workbookViewId="0">
      <selection activeCell="B13" sqref="B13"/>
    </sheetView>
  </sheetViews>
  <sheetFormatPr baseColWidth="10" defaultColWidth="10.83203125" defaultRowHeight="16" x14ac:dyDescent="0.2"/>
  <cols>
    <col min="1" max="1" width="6.83203125" style="34" customWidth="1"/>
    <col min="2" max="2" width="129.6640625" style="34" customWidth="1"/>
    <col min="3" max="3" width="13.83203125" style="34" customWidth="1"/>
    <col min="4" max="16384" width="10.83203125" style="34"/>
  </cols>
  <sheetData>
    <row r="2" spans="2:3" ht="17" customHeight="1" x14ac:dyDescent="0.2">
      <c r="B2" s="293" t="str">
        <f>Setup!B2</f>
        <v xml:space="preserve">Five Year Operating and Membership Plan </v>
      </c>
    </row>
    <row r="3" spans="2:3" ht="17" customHeight="1" x14ac:dyDescent="0.2">
      <c r="B3" s="284" t="s">
        <v>8</v>
      </c>
    </row>
    <row r="4" spans="2:3" ht="5" customHeight="1" x14ac:dyDescent="0.2"/>
    <row r="5" spans="2:3" x14ac:dyDescent="0.2">
      <c r="B5" s="285" t="s">
        <v>40</v>
      </c>
      <c r="C5" s="295"/>
    </row>
    <row r="6" spans="2:3" ht="5" customHeight="1" x14ac:dyDescent="0.2">
      <c r="B6" s="286"/>
      <c r="C6" s="296"/>
    </row>
    <row r="7" spans="2:3" ht="17" customHeight="1" x14ac:dyDescent="0.2">
      <c r="B7" s="287" t="s">
        <v>77</v>
      </c>
      <c r="C7" s="297"/>
    </row>
    <row r="8" spans="2:3" ht="17" customHeight="1" x14ac:dyDescent="0.2">
      <c r="B8" s="287" t="s">
        <v>78</v>
      </c>
    </row>
    <row r="9" spans="2:3" ht="17" customHeight="1" x14ac:dyDescent="0.2">
      <c r="B9" s="288" t="s">
        <v>71</v>
      </c>
    </row>
    <row r="10" spans="2:3" ht="5" customHeight="1" x14ac:dyDescent="0.2"/>
    <row r="11" spans="2:3" ht="17" customHeight="1" x14ac:dyDescent="0.2">
      <c r="B11" s="285" t="s">
        <v>125</v>
      </c>
    </row>
    <row r="12" spans="2:3" ht="5" customHeight="1" x14ac:dyDescent="0.2">
      <c r="B12" s="286"/>
    </row>
    <row r="13" spans="2:3" ht="17" customHeight="1" x14ac:dyDescent="0.2">
      <c r="B13" s="287" t="s">
        <v>162</v>
      </c>
    </row>
    <row r="14" spans="2:3" ht="17" customHeight="1" x14ac:dyDescent="0.2">
      <c r="B14" s="287" t="s">
        <v>163</v>
      </c>
    </row>
    <row r="15" spans="2:3" ht="17" customHeight="1" x14ac:dyDescent="0.2">
      <c r="B15" s="287" t="s">
        <v>164</v>
      </c>
    </row>
    <row r="16" spans="2:3" ht="5" customHeight="1" x14ac:dyDescent="0.2">
      <c r="B16" s="288"/>
    </row>
    <row r="17" spans="2:3" ht="17" customHeight="1" x14ac:dyDescent="0.2">
      <c r="B17" s="289" t="s">
        <v>222</v>
      </c>
    </row>
    <row r="18" spans="2:3" ht="17" customHeight="1" x14ac:dyDescent="0.2">
      <c r="B18" s="34" t="s">
        <v>223</v>
      </c>
    </row>
    <row r="19" spans="2:3" ht="5" customHeight="1" x14ac:dyDescent="0.2"/>
    <row r="20" spans="2:3" ht="5" customHeight="1" x14ac:dyDescent="0.2"/>
    <row r="21" spans="2:3" ht="16" customHeight="1" x14ac:dyDescent="0.2">
      <c r="B21" s="289" t="s">
        <v>221</v>
      </c>
    </row>
    <row r="22" spans="2:3" ht="39" customHeight="1" x14ac:dyDescent="0.2">
      <c r="B22" s="291" t="s">
        <v>226</v>
      </c>
      <c r="C22" s="288"/>
    </row>
    <row r="23" spans="2:3" ht="31" customHeight="1" x14ac:dyDescent="0.2">
      <c r="B23" s="291" t="s">
        <v>79</v>
      </c>
      <c r="C23" s="288"/>
    </row>
    <row r="24" spans="2:3" ht="33" customHeight="1" x14ac:dyDescent="0.2">
      <c r="B24" s="288" t="s">
        <v>72</v>
      </c>
      <c r="C24" s="288"/>
    </row>
    <row r="25" spans="2:3" ht="35" customHeight="1" x14ac:dyDescent="0.2">
      <c r="B25" s="287" t="s">
        <v>80</v>
      </c>
      <c r="C25" s="288"/>
    </row>
    <row r="26" spans="2:3" ht="17" customHeight="1" x14ac:dyDescent="0.2">
      <c r="B26" s="292" t="s">
        <v>73</v>
      </c>
      <c r="C26" s="288"/>
    </row>
    <row r="27" spans="2:3" ht="17" customHeight="1" x14ac:dyDescent="0.2">
      <c r="B27" s="287" t="s">
        <v>81</v>
      </c>
      <c r="C27" s="288"/>
    </row>
    <row r="28" spans="2:3" ht="17" customHeight="1" x14ac:dyDescent="0.2">
      <c r="B28" s="288" t="s">
        <v>74</v>
      </c>
      <c r="C28" s="288"/>
    </row>
    <row r="29" spans="2:3" ht="5" customHeight="1" x14ac:dyDescent="0.2">
      <c r="B29" s="288"/>
      <c r="C29" s="288"/>
    </row>
    <row r="30" spans="2:3" ht="18" customHeight="1" x14ac:dyDescent="0.2">
      <c r="B30" s="356" t="s">
        <v>224</v>
      </c>
      <c r="C30" s="288"/>
    </row>
    <row r="31" spans="2:3" ht="19" customHeight="1" x14ac:dyDescent="0.2">
      <c r="B31" s="356" t="s">
        <v>225</v>
      </c>
      <c r="C31" s="288"/>
    </row>
    <row r="32" spans="2:3" ht="12" customHeight="1" x14ac:dyDescent="0.2">
      <c r="B32" s="288"/>
      <c r="C32" s="288"/>
    </row>
    <row r="33" spans="2:3" ht="17" customHeight="1" x14ac:dyDescent="0.2">
      <c r="B33" s="289" t="s">
        <v>42</v>
      </c>
      <c r="C33" s="288"/>
    </row>
    <row r="34" spans="2:3" ht="5" customHeight="1" x14ac:dyDescent="0.2">
      <c r="B34" s="288"/>
      <c r="C34" s="288"/>
    </row>
    <row r="35" spans="2:3" ht="17" customHeight="1" x14ac:dyDescent="0.2">
      <c r="B35" s="287" t="s">
        <v>82</v>
      </c>
      <c r="C35" s="288"/>
    </row>
    <row r="36" spans="2:3" ht="17" customHeight="1" x14ac:dyDescent="0.2">
      <c r="B36" s="287" t="s">
        <v>83</v>
      </c>
      <c r="C36" s="288"/>
    </row>
    <row r="37" spans="2:3" ht="5" customHeight="1" x14ac:dyDescent="0.2">
      <c r="B37" s="288"/>
      <c r="C37" s="288"/>
    </row>
    <row r="38" spans="2:3" ht="17" customHeight="1" x14ac:dyDescent="0.2">
      <c r="B38" s="289" t="s">
        <v>43</v>
      </c>
      <c r="C38" s="288"/>
    </row>
    <row r="39" spans="2:3" ht="5" customHeight="1" x14ac:dyDescent="0.2">
      <c r="B39" s="288"/>
      <c r="C39" s="288"/>
    </row>
    <row r="40" spans="2:3" ht="17" customHeight="1" x14ac:dyDescent="0.2">
      <c r="B40" s="287" t="s">
        <v>84</v>
      </c>
      <c r="C40" s="288"/>
    </row>
    <row r="41" spans="2:3" ht="17" customHeight="1" x14ac:dyDescent="0.2">
      <c r="B41" s="287" t="s">
        <v>85</v>
      </c>
    </row>
    <row r="42" spans="2:3" ht="5" customHeight="1" x14ac:dyDescent="0.2"/>
    <row r="43" spans="2:3" ht="17" customHeight="1" x14ac:dyDescent="0.2">
      <c r="B43" s="289" t="s">
        <v>44</v>
      </c>
    </row>
    <row r="44" spans="2:3" ht="5" customHeight="1" x14ac:dyDescent="0.2">
      <c r="B44" s="288"/>
      <c r="C44" s="288"/>
    </row>
    <row r="45" spans="2:3" ht="32" customHeight="1" x14ac:dyDescent="0.2">
      <c r="B45" s="287" t="s">
        <v>86</v>
      </c>
      <c r="C45" s="288"/>
    </row>
    <row r="46" spans="2:3" ht="40" customHeight="1" x14ac:dyDescent="0.2">
      <c r="B46" s="287" t="s">
        <v>87</v>
      </c>
      <c r="C46" s="288"/>
    </row>
    <row r="47" spans="2:3" ht="17" customHeight="1" x14ac:dyDescent="0.2">
      <c r="B47" s="287" t="s">
        <v>88</v>
      </c>
      <c r="C47" s="288"/>
    </row>
    <row r="48" spans="2:3" ht="31" customHeight="1" x14ac:dyDescent="0.2">
      <c r="B48" s="287" t="s">
        <v>178</v>
      </c>
      <c r="C48" s="288"/>
    </row>
    <row r="49" spans="2:3" ht="30" customHeight="1" x14ac:dyDescent="0.2">
      <c r="B49" s="288" t="s">
        <v>179</v>
      </c>
      <c r="C49" s="288"/>
    </row>
    <row r="50" spans="2:3" ht="17" customHeight="1" x14ac:dyDescent="0.2">
      <c r="B50" s="123" t="s">
        <v>175</v>
      </c>
      <c r="C50" s="288"/>
    </row>
    <row r="51" spans="2:3" ht="17" customHeight="1" x14ac:dyDescent="0.2">
      <c r="B51" s="287" t="s">
        <v>89</v>
      </c>
      <c r="C51" s="288"/>
    </row>
    <row r="52" spans="2:3" ht="17" customHeight="1" x14ac:dyDescent="0.2">
      <c r="B52" s="288" t="s">
        <v>75</v>
      </c>
      <c r="C52" s="288"/>
    </row>
    <row r="53" spans="2:3" ht="17" customHeight="1" x14ac:dyDescent="0.2">
      <c r="B53" s="287" t="s">
        <v>90</v>
      </c>
      <c r="C53" s="288"/>
    </row>
    <row r="54" spans="2:3" ht="17" customHeight="1" x14ac:dyDescent="0.2">
      <c r="B54" s="34" t="s">
        <v>76</v>
      </c>
      <c r="C54" s="288"/>
    </row>
    <row r="55" spans="2:3" ht="5" customHeight="1" x14ac:dyDescent="0.2">
      <c r="C55" s="288"/>
    </row>
    <row r="56" spans="2:3" ht="17" customHeight="1" x14ac:dyDescent="0.2">
      <c r="B56" s="289" t="s">
        <v>45</v>
      </c>
      <c r="C56" s="288"/>
    </row>
    <row r="57" spans="2:3" ht="5" customHeight="1" x14ac:dyDescent="0.2">
      <c r="B57" s="290"/>
      <c r="C57" s="288"/>
    </row>
    <row r="58" spans="2:3" ht="17" customHeight="1" x14ac:dyDescent="0.2">
      <c r="B58" s="287" t="s">
        <v>91</v>
      </c>
      <c r="C58" s="288"/>
    </row>
    <row r="59" spans="2:3" ht="17" customHeight="1" x14ac:dyDescent="0.2">
      <c r="B59" s="287" t="s">
        <v>92</v>
      </c>
      <c r="C59" s="288"/>
    </row>
    <row r="60" spans="2:3" ht="17" customHeight="1" x14ac:dyDescent="0.2">
      <c r="B60" s="287" t="s">
        <v>93</v>
      </c>
      <c r="C60" s="288"/>
    </row>
    <row r="61" spans="2:3" ht="17" customHeight="1" x14ac:dyDescent="0.2">
      <c r="B61" s="288"/>
      <c r="C61" s="288"/>
    </row>
    <row r="62" spans="2:3" x14ac:dyDescent="0.2">
      <c r="B62" s="288"/>
      <c r="C62" s="288"/>
    </row>
    <row r="63" spans="2:3" x14ac:dyDescent="0.2">
      <c r="C63" s="288"/>
    </row>
    <row r="64" spans="2:3" x14ac:dyDescent="0.2">
      <c r="B64" s="288"/>
      <c r="C64" s="288"/>
    </row>
    <row r="65" spans="3:3" x14ac:dyDescent="0.2">
      <c r="C65" s="288"/>
    </row>
  </sheetData>
  <phoneticPr fontId="2" type="noConversion"/>
  <pageMargins left="0.75" right="0.75" top="1" bottom="1" header="0.5" footer="0.5"/>
  <pageSetup scale="67" orientation="portrait" horizontalDpi="4294967292" verticalDpi="429496729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8106C-37BA-7547-9B8F-D6EB9DA60DC8}">
  <dimension ref="B3:D13"/>
  <sheetViews>
    <sheetView zoomScale="101" workbookViewId="0">
      <selection activeCell="B3" sqref="B3"/>
    </sheetView>
  </sheetViews>
  <sheetFormatPr baseColWidth="10" defaultRowHeight="20" x14ac:dyDescent="0.2"/>
  <cols>
    <col min="1" max="2" width="10.83203125" style="299"/>
    <col min="3" max="3" width="3.1640625" style="299" customWidth="1"/>
    <col min="4" max="16384" width="10.83203125" style="299"/>
  </cols>
  <sheetData>
    <row r="3" spans="2:4" x14ac:dyDescent="0.2">
      <c r="B3" s="298" t="s">
        <v>180</v>
      </c>
    </row>
    <row r="4" spans="2:4" ht="21" thickBot="1" x14ac:dyDescent="0.25"/>
    <row r="5" spans="2:4" ht="21" thickBot="1" x14ac:dyDescent="0.25">
      <c r="B5" s="300"/>
      <c r="C5" s="301"/>
      <c r="D5" s="301" t="s">
        <v>181</v>
      </c>
    </row>
    <row r="6" spans="2:4" ht="21" thickBot="1" x14ac:dyDescent="0.25"/>
    <row r="7" spans="2:4" ht="21" thickBot="1" x14ac:dyDescent="0.25">
      <c r="B7" s="302"/>
      <c r="D7" s="301" t="s">
        <v>182</v>
      </c>
    </row>
    <row r="11" spans="2:4" x14ac:dyDescent="0.2">
      <c r="B11" s="298" t="s">
        <v>183</v>
      </c>
    </row>
    <row r="13" spans="2:4" x14ac:dyDescent="0.2">
      <c r="B13" s="303" t="s">
        <v>185</v>
      </c>
      <c r="C13" s="301"/>
      <c r="D13" s="301" t="s">
        <v>184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2"/>
  <sheetViews>
    <sheetView tabSelected="1" view="pageLayout" zoomScale="110" zoomScaleNormal="100" zoomScalePageLayoutView="110" workbookViewId="0">
      <selection activeCell="A4" sqref="A4"/>
    </sheetView>
  </sheetViews>
  <sheetFormatPr baseColWidth="10" defaultColWidth="8.83203125" defaultRowHeight="18" x14ac:dyDescent="0.2"/>
  <cols>
    <col min="1" max="1" width="48.83203125" style="213" customWidth="1"/>
    <col min="2" max="2" width="31.83203125" style="213" customWidth="1"/>
    <col min="3" max="3" width="16.33203125" style="213" customWidth="1"/>
    <col min="4" max="4" width="31.6640625" style="213" customWidth="1"/>
    <col min="5" max="16384" width="8.83203125" style="213"/>
  </cols>
  <sheetData>
    <row r="2" spans="1:4" ht="17" customHeight="1" x14ac:dyDescent="0.2">
      <c r="A2" s="105" t="s">
        <v>40</v>
      </c>
      <c r="B2" s="268" t="s">
        <v>176</v>
      </c>
    </row>
    <row r="3" spans="1:4" x14ac:dyDescent="0.2">
      <c r="A3" s="389" t="s">
        <v>3</v>
      </c>
      <c r="B3" s="389"/>
      <c r="C3" s="389"/>
      <c r="D3" s="389"/>
    </row>
    <row r="4" spans="1:4" ht="21" customHeight="1" x14ac:dyDescent="0.2">
      <c r="A4" s="213" t="s">
        <v>167</v>
      </c>
      <c r="B4" s="394">
        <v>2022</v>
      </c>
    </row>
    <row r="6" spans="1:4" x14ac:dyDescent="0.2">
      <c r="A6" s="213" t="s">
        <v>0</v>
      </c>
      <c r="B6" s="388" t="s">
        <v>248</v>
      </c>
      <c r="C6" s="388"/>
    </row>
    <row r="7" spans="1:4" x14ac:dyDescent="0.2">
      <c r="B7" s="364"/>
    </row>
    <row r="8" spans="1:4" x14ac:dyDescent="0.2">
      <c r="A8" s="213" t="s">
        <v>166</v>
      </c>
      <c r="B8" s="395" t="s">
        <v>98</v>
      </c>
    </row>
    <row r="9" spans="1:4" x14ac:dyDescent="0.2">
      <c r="B9" s="364"/>
    </row>
    <row r="10" spans="1:4" x14ac:dyDescent="0.2">
      <c r="A10" s="213" t="s">
        <v>61</v>
      </c>
      <c r="B10" s="396">
        <v>4.4999999999999998E-2</v>
      </c>
      <c r="D10" s="397"/>
    </row>
    <row r="11" spans="1:4" x14ac:dyDescent="0.2">
      <c r="B11" s="364"/>
    </row>
    <row r="12" spans="1:4" x14ac:dyDescent="0.2">
      <c r="A12" s="213" t="s">
        <v>12</v>
      </c>
      <c r="B12" s="398">
        <v>3</v>
      </c>
    </row>
    <row r="14" spans="1:4" x14ac:dyDescent="0.2">
      <c r="A14" s="213" t="s">
        <v>60</v>
      </c>
      <c r="B14" s="399">
        <v>5.5E-2</v>
      </c>
    </row>
    <row r="17" spans="1:1" s="223" customFormat="1" x14ac:dyDescent="0.2">
      <c r="A17" s="223" t="s">
        <v>8</v>
      </c>
    </row>
    <row r="18" spans="1:1" s="223" customFormat="1" ht="16" customHeight="1" x14ac:dyDescent="0.2">
      <c r="A18" s="400" t="s">
        <v>249</v>
      </c>
    </row>
    <row r="19" spans="1:1" s="223" customFormat="1" ht="16" customHeight="1" x14ac:dyDescent="0.2">
      <c r="A19" s="213" t="s">
        <v>250</v>
      </c>
    </row>
    <row r="20" spans="1:1" s="223" customFormat="1" ht="16" customHeight="1" x14ac:dyDescent="0.2">
      <c r="A20" s="213" t="s">
        <v>251</v>
      </c>
    </row>
    <row r="21" spans="1:1" ht="16" customHeight="1" x14ac:dyDescent="0.2">
      <c r="A21" s="213" t="s">
        <v>252</v>
      </c>
    </row>
    <row r="22" spans="1:1" ht="18" customHeight="1" x14ac:dyDescent="0.2">
      <c r="A22" s="213" t="s">
        <v>253</v>
      </c>
    </row>
    <row r="23" spans="1:1" ht="18" customHeight="1" x14ac:dyDescent="0.2">
      <c r="A23" s="213" t="s">
        <v>254</v>
      </c>
    </row>
    <row r="24" spans="1:1" ht="18" customHeight="1" x14ac:dyDescent="0.2">
      <c r="A24" s="213" t="s">
        <v>255</v>
      </c>
    </row>
    <row r="25" spans="1:1" ht="18" customHeight="1" x14ac:dyDescent="0.2">
      <c r="A25" s="213" t="s">
        <v>256</v>
      </c>
    </row>
    <row r="26" spans="1:1" ht="18" customHeight="1" x14ac:dyDescent="0.2">
      <c r="A26" s="213" t="s">
        <v>257</v>
      </c>
    </row>
    <row r="27" spans="1:1" ht="18" customHeight="1" x14ac:dyDescent="0.2">
      <c r="A27" s="213" t="s">
        <v>258</v>
      </c>
    </row>
    <row r="28" spans="1:1" ht="18" customHeight="1" x14ac:dyDescent="0.2">
      <c r="A28" s="213" t="s">
        <v>259</v>
      </c>
    </row>
    <row r="29" spans="1:1" ht="18" customHeight="1" x14ac:dyDescent="0.2">
      <c r="A29" s="213" t="s">
        <v>260</v>
      </c>
    </row>
    <row r="30" spans="1:1" ht="18" customHeight="1" x14ac:dyDescent="0.2">
      <c r="A30" s="213" t="s">
        <v>261</v>
      </c>
    </row>
    <row r="31" spans="1:1" ht="18" customHeight="1" x14ac:dyDescent="0.2">
      <c r="A31" s="213" t="s">
        <v>262</v>
      </c>
    </row>
    <row r="32" spans="1:1" ht="18" customHeight="1" x14ac:dyDescent="0.2"/>
  </sheetData>
  <mergeCells count="2">
    <mergeCell ref="B6:C6"/>
    <mergeCell ref="A3:D3"/>
  </mergeCells>
  <phoneticPr fontId="2" type="noConversion"/>
  <printOptions horizontalCentered="1" verticalCentered="1" gridLines="1"/>
  <pageMargins left="0.75" right="0.25" top="1" bottom="1" header="0.5" footer="0.5"/>
  <pageSetup scale="8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G37"/>
  <sheetViews>
    <sheetView zoomScale="130" zoomScaleNormal="13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O19" sqref="O19:AG19"/>
    </sheetView>
  </sheetViews>
  <sheetFormatPr baseColWidth="10" defaultColWidth="40" defaultRowHeight="16" x14ac:dyDescent="0.2"/>
  <cols>
    <col min="1" max="1" width="3.83203125" style="34" customWidth="1"/>
    <col min="2" max="2" width="38.5" style="34" customWidth="1"/>
    <col min="3" max="7" width="12.83203125" style="34" customWidth="1"/>
    <col min="8" max="8" width="2.83203125" style="34" customWidth="1"/>
    <col min="9" max="9" width="7.83203125" style="34" customWidth="1"/>
    <col min="10" max="10" width="8.1640625" style="43" customWidth="1"/>
    <col min="11" max="11" width="12.83203125" style="34" customWidth="1"/>
    <col min="12" max="12" width="3.1640625" style="34" customWidth="1"/>
    <col min="13" max="13" width="3.6640625" style="34" customWidth="1"/>
    <col min="14" max="14" width="38.5" style="34" customWidth="1"/>
    <col min="15" max="15" width="7.83203125" style="34" customWidth="1"/>
    <col min="16" max="16" width="6.5" style="43" customWidth="1"/>
    <col min="17" max="17" width="11.5" style="34" customWidth="1"/>
    <col min="18" max="18" width="2.83203125" style="34" customWidth="1"/>
    <col min="19" max="19" width="7.83203125" style="34" customWidth="1"/>
    <col min="20" max="20" width="9" style="43" bestFit="1" customWidth="1"/>
    <col min="21" max="21" width="11.5" style="34" customWidth="1"/>
    <col min="22" max="22" width="2.83203125" style="34" customWidth="1"/>
    <col min="23" max="23" width="7.83203125" style="34" customWidth="1"/>
    <col min="24" max="24" width="6.5" style="43" customWidth="1"/>
    <col min="25" max="25" width="11.5" style="34" customWidth="1"/>
    <col min="26" max="26" width="2.83203125" style="34" customWidth="1"/>
    <col min="27" max="27" width="7.83203125" style="34" customWidth="1"/>
    <col min="28" max="28" width="6.5" style="43" customWidth="1"/>
    <col min="29" max="29" width="11.5" style="34" customWidth="1"/>
    <col min="30" max="30" width="2.83203125" style="34" customWidth="1"/>
    <col min="31" max="31" width="7.83203125" style="34" customWidth="1"/>
    <col min="32" max="32" width="6.5" style="43" customWidth="1"/>
    <col min="33" max="33" width="11.5" style="34" customWidth="1"/>
    <col min="34" max="16384" width="40" style="34"/>
  </cols>
  <sheetData>
    <row r="1" spans="1:33" ht="18" x14ac:dyDescent="0.2">
      <c r="E1" s="41" t="str">
        <f>Setup!B2</f>
        <v xml:space="preserve">Five Year Operating and Membership Plan </v>
      </c>
    </row>
    <row r="2" spans="1:33" ht="18" x14ac:dyDescent="0.2">
      <c r="B2" s="105" t="s">
        <v>125</v>
      </c>
      <c r="C2" s="105"/>
      <c r="D2" s="105"/>
      <c r="E2" s="105"/>
      <c r="O2" s="105" t="s">
        <v>125</v>
      </c>
    </row>
    <row r="4" spans="1:33" ht="26" x14ac:dyDescent="0.4">
      <c r="C4" s="185" t="str">
        <f>Setup!B6</f>
        <v>Sample Council- #0325</v>
      </c>
      <c r="O4" s="185" t="s">
        <v>161</v>
      </c>
    </row>
    <row r="6" spans="1:33" x14ac:dyDescent="0.2">
      <c r="C6" s="43">
        <f>Setup!$B4-5</f>
        <v>2017</v>
      </c>
      <c r="D6" s="43">
        <f>Setup!$B4-4</f>
        <v>2018</v>
      </c>
      <c r="E6" s="43">
        <f>Setup!$B4-3</f>
        <v>2019</v>
      </c>
      <c r="F6" s="43">
        <f>Setup!$B4-2</f>
        <v>2020</v>
      </c>
      <c r="G6" s="43">
        <f>Setup!$B4-1</f>
        <v>2021</v>
      </c>
      <c r="H6" s="43"/>
      <c r="I6" s="43"/>
      <c r="K6" s="43">
        <f>Setup!B4</f>
        <v>2022</v>
      </c>
      <c r="L6" s="43"/>
      <c r="M6" s="43"/>
      <c r="N6" s="43"/>
      <c r="O6" s="112">
        <f>$K6+1</f>
        <v>2023</v>
      </c>
      <c r="R6" s="43"/>
      <c r="S6" s="112">
        <f>$K6+2</f>
        <v>2024</v>
      </c>
      <c r="U6" s="43"/>
      <c r="V6" s="43"/>
      <c r="W6" s="112">
        <f>$K6+3</f>
        <v>2025</v>
      </c>
      <c r="Y6" s="43"/>
      <c r="Z6" s="43"/>
      <c r="AA6" s="112">
        <f>$K6+4</f>
        <v>2026</v>
      </c>
      <c r="AC6" s="43"/>
      <c r="AD6" s="43"/>
      <c r="AE6" s="112">
        <f>$K6+5</f>
        <v>2027</v>
      </c>
      <c r="AG6" s="43"/>
    </row>
    <row r="7" spans="1:33" ht="17" thickBot="1" x14ac:dyDescent="0.25">
      <c r="C7" s="197" t="s">
        <v>113</v>
      </c>
      <c r="D7" s="197" t="s">
        <v>113</v>
      </c>
      <c r="E7" s="197" t="s">
        <v>113</v>
      </c>
      <c r="F7" s="197" t="s">
        <v>113</v>
      </c>
      <c r="G7" s="197" t="s">
        <v>113</v>
      </c>
      <c r="H7" s="109"/>
      <c r="I7" s="109"/>
      <c r="J7" s="109"/>
      <c r="K7" s="109" t="s">
        <v>102</v>
      </c>
      <c r="L7" s="186"/>
      <c r="M7" s="186"/>
      <c r="O7" s="108"/>
      <c r="P7" s="109"/>
      <c r="Q7" s="108" t="s">
        <v>103</v>
      </c>
      <c r="S7" s="108"/>
      <c r="T7" s="109"/>
      <c r="U7" s="108" t="s">
        <v>104</v>
      </c>
      <c r="W7" s="108"/>
      <c r="X7" s="109"/>
      <c r="Y7" s="108" t="s">
        <v>105</v>
      </c>
      <c r="AA7" s="108"/>
      <c r="AB7" s="109"/>
      <c r="AC7" s="108" t="s">
        <v>106</v>
      </c>
      <c r="AD7" s="107"/>
      <c r="AE7" s="108"/>
      <c r="AF7" s="109"/>
      <c r="AG7" s="108" t="s">
        <v>107</v>
      </c>
    </row>
    <row r="8" spans="1:33" x14ac:dyDescent="0.2">
      <c r="A8" s="183" t="s">
        <v>112</v>
      </c>
      <c r="H8" s="43"/>
      <c r="I8" s="50" t="s">
        <v>115</v>
      </c>
      <c r="J8" s="50"/>
      <c r="K8" s="43" t="s">
        <v>114</v>
      </c>
      <c r="L8" s="43"/>
      <c r="M8" s="183" t="s">
        <v>112</v>
      </c>
      <c r="O8" s="43" t="s">
        <v>115</v>
      </c>
      <c r="P8" s="50"/>
      <c r="Q8" s="43" t="s">
        <v>114</v>
      </c>
      <c r="S8" s="43" t="s">
        <v>115</v>
      </c>
      <c r="T8" s="50"/>
      <c r="U8" s="43" t="s">
        <v>114</v>
      </c>
      <c r="W8" s="43" t="s">
        <v>115</v>
      </c>
      <c r="X8" s="50"/>
      <c r="Y8" s="43" t="s">
        <v>114</v>
      </c>
      <c r="AA8" s="43" t="s">
        <v>115</v>
      </c>
      <c r="AB8" s="50"/>
      <c r="AC8" s="43" t="s">
        <v>114</v>
      </c>
      <c r="AD8" s="107"/>
      <c r="AE8" s="43" t="s">
        <v>115</v>
      </c>
      <c r="AF8" s="50"/>
      <c r="AG8" s="43" t="s">
        <v>114</v>
      </c>
    </row>
    <row r="9" spans="1:33" x14ac:dyDescent="0.2">
      <c r="J9" s="110" t="s">
        <v>129</v>
      </c>
      <c r="P9" s="110" t="s">
        <v>129</v>
      </c>
      <c r="T9" s="110" t="s">
        <v>129</v>
      </c>
      <c r="X9" s="110" t="s">
        <v>129</v>
      </c>
      <c r="AB9" s="110" t="s">
        <v>129</v>
      </c>
      <c r="AD9" s="107"/>
      <c r="AF9" s="110" t="s">
        <v>129</v>
      </c>
    </row>
    <row r="10" spans="1:33" x14ac:dyDescent="0.2">
      <c r="B10" s="182" t="s">
        <v>127</v>
      </c>
      <c r="C10" s="263">
        <v>2435</v>
      </c>
      <c r="D10" s="263">
        <v>2380</v>
      </c>
      <c r="E10" s="263">
        <v>2401</v>
      </c>
      <c r="F10" s="263">
        <v>2116</v>
      </c>
      <c r="G10" s="263">
        <v>1300</v>
      </c>
      <c r="H10" s="267"/>
      <c r="I10" s="264">
        <v>20</v>
      </c>
      <c r="J10" s="147">
        <f>IF(I10&gt;0,K10/F10-1,0)</f>
        <v>-0.37618147448015127</v>
      </c>
      <c r="K10" s="49">
        <f>IF(I10&gt;0,I10+G10,0)</f>
        <v>1320</v>
      </c>
      <c r="L10" s="179"/>
      <c r="N10" s="182" t="s">
        <v>127</v>
      </c>
      <c r="O10" s="264">
        <v>12</v>
      </c>
      <c r="P10" s="147">
        <f>IF(O10&gt;0,Q10/K10-1,0)</f>
        <v>9.0909090909090384E-3</v>
      </c>
      <c r="Q10" s="179">
        <f>IF(O10&gt;0,O10+K10,0)</f>
        <v>1332</v>
      </c>
      <c r="S10" s="264">
        <v>12</v>
      </c>
      <c r="T10" s="147">
        <f>IF(S10&gt;0,U10/Q10-1,0)</f>
        <v>9.009009009008917E-3</v>
      </c>
      <c r="U10" s="179">
        <f>IF(S10&gt;0,S10+Q10,0)</f>
        <v>1344</v>
      </c>
      <c r="W10" s="264">
        <v>12</v>
      </c>
      <c r="X10" s="147">
        <f>IF(W10&gt;0,Y10/U10-1,0)</f>
        <v>8.9285714285713969E-3</v>
      </c>
      <c r="Y10" s="179">
        <f>IF(W10&gt;0,W10+U10,0)</f>
        <v>1356</v>
      </c>
      <c r="AA10" s="264">
        <v>12</v>
      </c>
      <c r="AB10" s="147">
        <f>IF(AA10&gt;0,AC10/Y10-1,0)</f>
        <v>8.8495575221239076E-3</v>
      </c>
      <c r="AC10" s="179">
        <f>IF(AA10&gt;0,AA10+Y10,0)</f>
        <v>1368</v>
      </c>
      <c r="AD10" s="107"/>
      <c r="AE10" s="264">
        <v>12</v>
      </c>
      <c r="AF10" s="147">
        <f>IF(AE10&gt;0,AG10/AC10-1,0)</f>
        <v>8.7719298245614308E-3</v>
      </c>
      <c r="AG10" s="179">
        <f>IF(AE10&gt;0,AE10+AC10,0)</f>
        <v>1380</v>
      </c>
    </row>
    <row r="11" spans="1:33" customFormat="1" ht="13" x14ac:dyDescent="0.15">
      <c r="C11" s="199"/>
      <c r="J11" s="196"/>
      <c r="P11" s="196"/>
      <c r="Q11" s="180"/>
      <c r="T11" s="196"/>
      <c r="U11" s="180"/>
      <c r="X11" s="196"/>
      <c r="Y11" s="180"/>
      <c r="AB11" s="196"/>
      <c r="AC11" s="180"/>
      <c r="AF11" s="17"/>
      <c r="AG11" s="180"/>
    </row>
    <row r="12" spans="1:33" x14ac:dyDescent="0.2">
      <c r="B12" s="182" t="s">
        <v>177</v>
      </c>
      <c r="C12" s="263">
        <v>2422</v>
      </c>
      <c r="D12" s="263">
        <v>2413</v>
      </c>
      <c r="E12" s="263">
        <v>2377</v>
      </c>
      <c r="F12" s="263">
        <v>2245</v>
      </c>
      <c r="G12" s="263">
        <v>1400</v>
      </c>
      <c r="H12" s="267"/>
      <c r="I12" s="264">
        <v>18</v>
      </c>
      <c r="J12" s="147">
        <f>IF(I12&gt;0,K12/F12-1,0)</f>
        <v>-0.36837416481069041</v>
      </c>
      <c r="K12" s="49">
        <f>IF(I12&gt;0,I12+G12,0)</f>
        <v>1418</v>
      </c>
      <c r="L12" s="179"/>
      <c r="N12" s="182" t="s">
        <v>128</v>
      </c>
      <c r="O12" s="264">
        <v>12</v>
      </c>
      <c r="P12" s="147">
        <f>IF(O12&gt;0,Q12/K12-1,0)</f>
        <v>8.4626234132580969E-3</v>
      </c>
      <c r="Q12" s="179">
        <f>IF(O12&gt;0,O12+K12,K12)</f>
        <v>1430</v>
      </c>
      <c r="S12" s="264">
        <v>12</v>
      </c>
      <c r="T12" s="147">
        <f>IF(S12&gt;0,U12/Q12-1,0)</f>
        <v>8.3916083916084627E-3</v>
      </c>
      <c r="U12" s="179">
        <f>IF(S12&gt;0,S12+Q12,Q12)</f>
        <v>1442</v>
      </c>
      <c r="W12" s="264">
        <v>12</v>
      </c>
      <c r="X12" s="147">
        <f>IF(W12&gt;0,Y12/U12-1,0)</f>
        <v>8.3217753120665705E-3</v>
      </c>
      <c r="Y12" s="179">
        <f>IF(W12&gt;0,W12+U12,U12)</f>
        <v>1454</v>
      </c>
      <c r="AA12" s="264">
        <v>12</v>
      </c>
      <c r="AB12" s="147">
        <f>IF(AA12&gt;0,AC12/Y12-1,0)</f>
        <v>8.2530949105914519E-3</v>
      </c>
      <c r="AC12" s="179">
        <f>IF(AA12&gt;0,AA12+Y12,Y12)</f>
        <v>1466</v>
      </c>
      <c r="AD12" s="107"/>
      <c r="AE12" s="264">
        <v>12</v>
      </c>
      <c r="AF12" s="147">
        <f>IF(AE12&gt;0,AG12/AC12-1,0)</f>
        <v>8.1855388813096841E-3</v>
      </c>
      <c r="AG12" s="179">
        <f>IF(AE12&gt;0,AE12+AC12,AC12)</f>
        <v>1478</v>
      </c>
    </row>
    <row r="13" spans="1:33" customFormat="1" ht="13" x14ac:dyDescent="0.15">
      <c r="C13" s="199"/>
      <c r="J13" s="196"/>
      <c r="P13" s="196"/>
      <c r="Q13" s="180"/>
      <c r="T13" s="196"/>
      <c r="U13" s="180"/>
      <c r="X13" s="196"/>
      <c r="Y13" s="180"/>
      <c r="AB13" s="196"/>
      <c r="AC13" s="180"/>
      <c r="AF13" s="17"/>
      <c r="AG13" s="180"/>
    </row>
    <row r="14" spans="1:33" ht="19" x14ac:dyDescent="0.35">
      <c r="B14" s="182" t="s">
        <v>109</v>
      </c>
      <c r="C14" s="265">
        <v>1159</v>
      </c>
      <c r="D14" s="265">
        <v>982</v>
      </c>
      <c r="E14" s="265">
        <v>1014</v>
      </c>
      <c r="F14" s="265">
        <v>563</v>
      </c>
      <c r="G14" s="265">
        <v>300</v>
      </c>
      <c r="H14" s="267"/>
      <c r="I14" s="266">
        <v>24</v>
      </c>
      <c r="J14" s="195">
        <f>IF(I14&gt;0,K14/F14-1,0)</f>
        <v>-0.42451154529307278</v>
      </c>
      <c r="K14" s="49">
        <f>IF(I14&gt;0,I14+G14,0)</f>
        <v>324</v>
      </c>
      <c r="L14" s="179"/>
      <c r="N14" s="182" t="s">
        <v>109</v>
      </c>
      <c r="O14" s="266">
        <v>9</v>
      </c>
      <c r="P14" s="195">
        <f>IF(O14&gt;0,Q14/K14-1,0)</f>
        <v>2.7777777777777679E-2</v>
      </c>
      <c r="Q14" s="194">
        <f>IF(O14&gt;0,O14+K14,K14)</f>
        <v>333</v>
      </c>
      <c r="S14" s="266">
        <v>9</v>
      </c>
      <c r="T14" s="195">
        <f>IF(S14&gt;0,U14/Q14-1,0)</f>
        <v>2.7027027027026973E-2</v>
      </c>
      <c r="U14" s="194">
        <f>IF(S14&gt;0,S14+Q14,Q14)</f>
        <v>342</v>
      </c>
      <c r="W14" s="266">
        <v>9</v>
      </c>
      <c r="X14" s="195">
        <f>IF(W14&gt;0,Y14/U14-1,0)</f>
        <v>2.6315789473684292E-2</v>
      </c>
      <c r="Y14" s="179">
        <f>IF(W14&gt;0,W14+U14,U14)</f>
        <v>351</v>
      </c>
      <c r="AA14" s="266">
        <v>9</v>
      </c>
      <c r="AB14" s="195">
        <f>IF(AA14&gt;0,AC14/Y14-1,0)</f>
        <v>2.564102564102555E-2</v>
      </c>
      <c r="AC14" s="194">
        <f>IF(AA14&gt;0,AA14+Y14,Y14)</f>
        <v>360</v>
      </c>
      <c r="AD14" s="107"/>
      <c r="AE14" s="266">
        <v>9</v>
      </c>
      <c r="AF14" s="195">
        <f>IF(AE14&gt;0,AG14/AC14-1,0)</f>
        <v>2.4999999999999911E-2</v>
      </c>
      <c r="AG14" s="179">
        <f>IF(AE14&gt;0,AE14+AC14,AC14)</f>
        <v>369</v>
      </c>
    </row>
    <row r="15" spans="1:33" x14ac:dyDescent="0.2">
      <c r="B15" s="48" t="s">
        <v>130</v>
      </c>
      <c r="C15" s="172">
        <f>C10+C12+C14</f>
        <v>6016</v>
      </c>
      <c r="D15" s="172">
        <f>D10+D12+D14</f>
        <v>5775</v>
      </c>
      <c r="E15" s="172">
        <f>E10+E12+E14</f>
        <v>5792</v>
      </c>
      <c r="F15" s="172">
        <f>F10+F12+F14</f>
        <v>4924</v>
      </c>
      <c r="G15" s="172">
        <f>G10+G12+G14</f>
        <v>3000</v>
      </c>
      <c r="H15" s="172"/>
      <c r="I15" s="172">
        <f>I10+I12+I14</f>
        <v>62</v>
      </c>
      <c r="J15" s="147">
        <f>IF(I15&gt;0,K15/G15-1,0)</f>
        <v>2.0666666666666611E-2</v>
      </c>
      <c r="K15" s="47">
        <f>K10+K12+K14</f>
        <v>3062</v>
      </c>
      <c r="L15" s="47"/>
      <c r="N15" s="48" t="s">
        <v>130</v>
      </c>
      <c r="O15" s="172">
        <f>O10+O12+O14</f>
        <v>33</v>
      </c>
      <c r="P15" s="147">
        <f>IF(O15&gt;0,Q15/K15-1,0)</f>
        <v>1.0777269758327934E-2</v>
      </c>
      <c r="Q15" s="181">
        <f>Q10+Q12+Q14</f>
        <v>3095</v>
      </c>
      <c r="S15" s="172">
        <f>S10+S12+S14</f>
        <v>33</v>
      </c>
      <c r="T15" s="147">
        <f>IF(S15&gt;0,U15/Q15-1,0)</f>
        <v>1.0662358642972602E-2</v>
      </c>
      <c r="U15" s="181">
        <f>U10+U12+U14</f>
        <v>3128</v>
      </c>
      <c r="W15" s="172">
        <f>W10+W12+W14</f>
        <v>33</v>
      </c>
      <c r="X15" s="147">
        <f>IF(W15&gt;0,Y15/U15-1,0)</f>
        <v>1.0549872122762149E-2</v>
      </c>
      <c r="Y15" s="181">
        <f>Y10+Y12+Y14</f>
        <v>3161</v>
      </c>
      <c r="AA15" s="172">
        <f>AA10+AA12+AA14</f>
        <v>33</v>
      </c>
      <c r="AB15" s="147">
        <f>IF(AA15&gt;0,AC15/Y15-1,0)</f>
        <v>1.0439734261309619E-2</v>
      </c>
      <c r="AC15" s="181">
        <f>AC10+AC12+AC14</f>
        <v>3194</v>
      </c>
      <c r="AD15" s="107"/>
      <c r="AE15" s="172">
        <f>AE10+AE12+AE14</f>
        <v>33</v>
      </c>
      <c r="AF15" s="147">
        <f>IF(AE15&gt;0,AG15/AC15-1,0)</f>
        <v>1.0331872260488373E-2</v>
      </c>
      <c r="AG15" s="181">
        <f>AG10+AG12+AG14</f>
        <v>3227</v>
      </c>
    </row>
    <row r="16" spans="1:33" ht="19" x14ac:dyDescent="0.35">
      <c r="B16" s="182" t="s">
        <v>110</v>
      </c>
      <c r="C16" s="265">
        <v>517</v>
      </c>
      <c r="D16" s="265">
        <v>613</v>
      </c>
      <c r="E16" s="265">
        <v>700</v>
      </c>
      <c r="F16" s="265">
        <v>527</v>
      </c>
      <c r="G16" s="265">
        <v>275</v>
      </c>
      <c r="H16" s="267"/>
      <c r="I16" s="266">
        <v>1</v>
      </c>
      <c r="J16" s="195">
        <f>IF(I16&gt;0,K16/F16-1,0)</f>
        <v>-0.47628083491461104</v>
      </c>
      <c r="K16" s="49">
        <f>IF(I16&gt;0,I16+G16,0)</f>
        <v>276</v>
      </c>
      <c r="L16" s="179"/>
      <c r="N16" s="182" t="s">
        <v>110</v>
      </c>
      <c r="O16" s="266">
        <v>1</v>
      </c>
      <c r="P16" s="195">
        <f>IF(O16&gt;0,Q16/K16-1,0)</f>
        <v>3.6231884057971175E-3</v>
      </c>
      <c r="Q16" s="194">
        <f>IF(O16&gt;0,O16+K16,K16)</f>
        <v>277</v>
      </c>
      <c r="S16" s="266">
        <v>1</v>
      </c>
      <c r="T16" s="195">
        <f>IF(S16&gt;0,U16/Q16-1,0)</f>
        <v>3.6101083032491488E-3</v>
      </c>
      <c r="U16" s="194">
        <f>IF(S16&gt;0,S16+Q16,Q16)</f>
        <v>278</v>
      </c>
      <c r="W16" s="266">
        <v>1</v>
      </c>
      <c r="X16" s="195">
        <f>IF(W16&gt;0,Y16/U16-1,0)</f>
        <v>3.597122302158251E-3</v>
      </c>
      <c r="Y16" s="179">
        <f>IF(W16&gt;0,W16+U16,U16)</f>
        <v>279</v>
      </c>
      <c r="AA16" s="266">
        <v>1</v>
      </c>
      <c r="AB16" s="195">
        <f>IF(AA16&gt;0,AC16/Y16-1,0)</f>
        <v>3.5842293906809264E-3</v>
      </c>
      <c r="AC16" s="194">
        <f>IF(AA16&gt;0,AA16+Y16,Y16)</f>
        <v>280</v>
      </c>
      <c r="AD16" s="107"/>
      <c r="AE16" s="266">
        <v>1</v>
      </c>
      <c r="AF16" s="195">
        <f>IF(AE16&gt;0,AG16/AC16-1,0)</f>
        <v>3.5714285714285587E-3</v>
      </c>
      <c r="AG16" s="179">
        <f>IF(AE16&gt;0,AE16+AC16,AC16)</f>
        <v>281</v>
      </c>
    </row>
    <row r="17" spans="1:33" x14ac:dyDescent="0.2">
      <c r="B17" s="48" t="s">
        <v>111</v>
      </c>
      <c r="C17" s="154">
        <f>C16+C15</f>
        <v>6533</v>
      </c>
      <c r="D17" s="154">
        <f>D16+D15</f>
        <v>6388</v>
      </c>
      <c r="E17" s="154">
        <f>E16+E15</f>
        <v>6492</v>
      </c>
      <c r="F17" s="154">
        <f>F16+F15</f>
        <v>5451</v>
      </c>
      <c r="G17" s="154">
        <f>G16+G15</f>
        <v>3275</v>
      </c>
      <c r="H17" s="154"/>
      <c r="I17" s="154">
        <f>I15+I16</f>
        <v>63</v>
      </c>
      <c r="J17" s="147">
        <f>IF(I17&gt;0,K17/G17-1,0)</f>
        <v>1.9236641221374029E-2</v>
      </c>
      <c r="K17" s="47">
        <f>G17+I17</f>
        <v>3338</v>
      </c>
      <c r="L17" s="47"/>
      <c r="N17" s="48" t="s">
        <v>111</v>
      </c>
      <c r="O17" s="154">
        <f>O15+O16</f>
        <v>34</v>
      </c>
      <c r="P17" s="147">
        <f>IF(O17&gt;0,Q17/K17-1,0)</f>
        <v>1.0185739964050367E-2</v>
      </c>
      <c r="Q17" s="154">
        <f>Q16+Q15</f>
        <v>3372</v>
      </c>
      <c r="S17" s="154">
        <f>S15+S16</f>
        <v>34</v>
      </c>
      <c r="T17" s="147">
        <f>IF(S17&gt;0,U17/Q17-1,0)</f>
        <v>1.0083036773428145E-2</v>
      </c>
      <c r="U17" s="154">
        <f>U16+U15</f>
        <v>3406</v>
      </c>
      <c r="W17" s="154">
        <f>W15+W16</f>
        <v>34</v>
      </c>
      <c r="X17" s="147">
        <f>IF(W17&gt;0,Y17/U17-1,0)</f>
        <v>9.9823840281856313E-3</v>
      </c>
      <c r="Y17" s="154">
        <f>Y16+Y15</f>
        <v>3440</v>
      </c>
      <c r="AA17" s="154">
        <f>AA15+AA16</f>
        <v>34</v>
      </c>
      <c r="AB17" s="147">
        <f>IF(AA17&gt;0,AC17/Y17-1,0)</f>
        <v>9.8837209302324869E-3</v>
      </c>
      <c r="AC17" s="154">
        <f>AC16+AC15</f>
        <v>3474</v>
      </c>
      <c r="AD17" s="107"/>
      <c r="AE17" s="154">
        <f>AE15+AE16</f>
        <v>34</v>
      </c>
      <c r="AF17" s="147">
        <f>IF(AE17&gt;0,AG17/AC17-1,0)</f>
        <v>9.7869890616004707E-3</v>
      </c>
      <c r="AG17" s="154">
        <f>AG16+AG15</f>
        <v>3508</v>
      </c>
    </row>
    <row r="18" spans="1:33" x14ac:dyDescent="0.2">
      <c r="B18" s="48"/>
      <c r="C18" s="154"/>
      <c r="D18" s="154"/>
      <c r="E18" s="154"/>
      <c r="F18" s="154"/>
      <c r="G18" s="154"/>
      <c r="H18" s="154"/>
      <c r="I18" s="154"/>
      <c r="J18" s="147"/>
      <c r="K18" s="47"/>
      <c r="L18" s="47"/>
      <c r="N18" s="48"/>
      <c r="O18" s="154"/>
      <c r="P18" s="147"/>
      <c r="Q18" s="154"/>
      <c r="S18" s="154"/>
      <c r="T18" s="147"/>
      <c r="U18" s="154"/>
      <c r="W18" s="154"/>
      <c r="X18" s="147"/>
      <c r="Y18" s="154"/>
      <c r="AA18" s="154"/>
      <c r="AB18" s="147"/>
      <c r="AC18" s="154"/>
      <c r="AD18" s="107"/>
      <c r="AE18" s="154"/>
      <c r="AF18" s="147"/>
      <c r="AG18" s="154"/>
    </row>
    <row r="19" spans="1:33" ht="19" x14ac:dyDescent="0.35">
      <c r="B19" s="48" t="s">
        <v>199</v>
      </c>
      <c r="C19" s="265">
        <v>2050</v>
      </c>
      <c r="D19" s="265">
        <v>2000</v>
      </c>
      <c r="E19" s="265">
        <v>1995</v>
      </c>
      <c r="F19" s="265">
        <v>1881</v>
      </c>
      <c r="G19" s="265">
        <v>1100</v>
      </c>
      <c r="H19" s="154"/>
      <c r="I19" s="266">
        <v>1</v>
      </c>
      <c r="J19" s="195">
        <f>IF(I19&gt;0,K19/F19-1,0)</f>
        <v>-0.41467304625199364</v>
      </c>
      <c r="K19" s="49">
        <f>IF(I19&gt;0,I19+G19,0)</f>
        <v>1101</v>
      </c>
      <c r="L19" s="47"/>
      <c r="N19" s="48"/>
      <c r="O19" s="266">
        <v>1</v>
      </c>
      <c r="P19" s="195">
        <f>IF(O19&gt;0,Q19/K19-1,0)</f>
        <v>9.0826521344222755E-4</v>
      </c>
      <c r="Q19" s="194">
        <f>IF(O19&gt;0,O19+K19,K19)</f>
        <v>1102</v>
      </c>
      <c r="S19" s="266">
        <v>1</v>
      </c>
      <c r="T19" s="195">
        <f>IF(S19&gt;0,U19/Q19-1,0)</f>
        <v>9.0744101633388752E-4</v>
      </c>
      <c r="U19" s="194">
        <f>IF(S19&gt;0,S19+Q19,Q19)</f>
        <v>1103</v>
      </c>
      <c r="W19" s="266">
        <v>1</v>
      </c>
      <c r="X19" s="195">
        <f>IF(W19&gt;0,Y19/U19-1,0)</f>
        <v>9.0661831368987755E-4</v>
      </c>
      <c r="Y19" s="179">
        <f>IF(W19&gt;0,W19+U19,U19)</f>
        <v>1104</v>
      </c>
      <c r="AA19" s="266">
        <v>1</v>
      </c>
      <c r="AB19" s="195">
        <f>IF(AA19&gt;0,AC19/Y19-1,0)</f>
        <v>9.0579710144922387E-4</v>
      </c>
      <c r="AC19" s="194">
        <f>IF(AA19&gt;0,AA19+Y19,Y19)</f>
        <v>1105</v>
      </c>
      <c r="AD19" s="107"/>
      <c r="AE19" s="266">
        <v>1</v>
      </c>
      <c r="AF19" s="195">
        <f>IF(AE19&gt;0,AG19/AC19-1,0)</f>
        <v>9.0497737556560764E-4</v>
      </c>
      <c r="AG19" s="179">
        <f>IF(AE19&gt;0,AE19+AC19,AC19)</f>
        <v>1106</v>
      </c>
    </row>
    <row r="20" spans="1:33" ht="17" thickBot="1" x14ac:dyDescent="0.25">
      <c r="A20" s="108"/>
      <c r="B20" s="108"/>
      <c r="C20" s="108"/>
      <c r="D20" s="108"/>
      <c r="E20" s="108"/>
      <c r="F20" s="108"/>
      <c r="G20" s="276"/>
      <c r="H20" s="108"/>
      <c r="I20" s="108"/>
      <c r="J20" s="109"/>
      <c r="K20" s="276"/>
      <c r="L20" s="192"/>
      <c r="M20" s="108"/>
      <c r="N20" s="108"/>
      <c r="O20" s="108"/>
      <c r="P20" s="109"/>
      <c r="Q20" s="108"/>
      <c r="R20" s="108"/>
      <c r="S20" s="108"/>
      <c r="T20" s="109"/>
      <c r="U20" s="108"/>
      <c r="V20" s="108"/>
      <c r="W20" s="108"/>
      <c r="X20" s="109"/>
      <c r="Y20" s="108"/>
      <c r="Z20" s="108"/>
      <c r="AA20" s="108"/>
      <c r="AB20" s="109"/>
      <c r="AC20" s="108"/>
      <c r="AD20" s="108"/>
      <c r="AE20" s="108"/>
      <c r="AF20" s="109"/>
      <c r="AG20" s="108"/>
    </row>
    <row r="21" spans="1:33" x14ac:dyDescent="0.2">
      <c r="A21" s="33" t="s">
        <v>119</v>
      </c>
      <c r="B21" s="33"/>
      <c r="C21" s="33"/>
      <c r="D21" s="33"/>
      <c r="E21" s="33"/>
      <c r="M21" s="33" t="s">
        <v>119</v>
      </c>
    </row>
    <row r="23" spans="1:33" x14ac:dyDescent="0.2">
      <c r="B23" s="35" t="s">
        <v>99</v>
      </c>
      <c r="C23" s="269">
        <f>'A. History Input &amp; Output'!E$8/'Membership History and Planning'!C$15</f>
        <v>50.604222074468083</v>
      </c>
      <c r="D23" s="269">
        <f>'A. History Input &amp; Output'!G$8/'Membership History and Planning'!D$15</f>
        <v>42.790303030303029</v>
      </c>
      <c r="E23" s="269">
        <f>'A. History Input &amp; Output'!I$8/'Membership History and Planning'!E$15</f>
        <v>44.460117403314918</v>
      </c>
      <c r="F23" s="269">
        <f>'A. History Input &amp; Output'!K$8/'Membership History and Planning'!F$15</f>
        <v>43.878350934199837</v>
      </c>
      <c r="G23" s="269">
        <f>'A. History Input &amp; Output'!M$8/'Membership History and Planning'!G$15</f>
        <v>89.057666666666663</v>
      </c>
      <c r="H23" s="269"/>
      <c r="I23" s="269"/>
      <c r="J23" s="270"/>
      <c r="K23" s="269">
        <f>'A. History Input &amp; Output'!O$8/'Membership History and Planning'!K$15</f>
        <v>32.65839320705421</v>
      </c>
      <c r="L23" s="46"/>
      <c r="M23" s="46"/>
      <c r="N23" s="35" t="s">
        <v>151</v>
      </c>
      <c r="Q23" s="269">
        <f>'E. Output'!C$8/'Membership History and Planning'!Q$15</f>
        <v>33.279483037156702</v>
      </c>
      <c r="R23" s="269"/>
      <c r="S23" s="269"/>
      <c r="T23" s="270"/>
      <c r="U23" s="269">
        <f>'E. Output'!E$8/'Membership History and Planning'!U$15</f>
        <v>33.916240409207163</v>
      </c>
      <c r="V23" s="269"/>
      <c r="W23" s="269"/>
      <c r="X23" s="270"/>
      <c r="Y23" s="269">
        <f>'E. Output'!G$8/'Membership History and Planning'!Y$15</f>
        <v>34.569028788358111</v>
      </c>
      <c r="Z23" s="269"/>
      <c r="AA23" s="269"/>
      <c r="AB23" s="270"/>
      <c r="AC23" s="269">
        <f>'E. Output'!I$8/'Membership History and Planning'!AC$15</f>
        <v>35.238221978710079</v>
      </c>
      <c r="AD23" s="269"/>
      <c r="AE23" s="269"/>
      <c r="AF23" s="270"/>
      <c r="AG23" s="269">
        <f>'E. Output'!K$8/'Membership History and Planning'!AG$15</f>
        <v>35.924204347691351</v>
      </c>
    </row>
    <row r="24" spans="1:33" x14ac:dyDescent="0.2">
      <c r="B24" s="35" t="s">
        <v>100</v>
      </c>
      <c r="C24" s="269">
        <f>'A. History Input &amp; Output'!E$14/'Membership History and Planning'!C$15</f>
        <v>91.750332446808514</v>
      </c>
      <c r="D24" s="269">
        <f>'A. History Input &amp; Output'!G$14/'Membership History and Planning'!D$15</f>
        <v>89.661645021645015</v>
      </c>
      <c r="E24" s="269">
        <f>'A. History Input &amp; Output'!I$14/'Membership History and Planning'!E$15</f>
        <v>96.583563535911608</v>
      </c>
      <c r="F24" s="269">
        <f>'A. History Input &amp; Output'!K$14/'Membership History and Planning'!F$15</f>
        <v>113.7055239642567</v>
      </c>
      <c r="G24" s="269">
        <f>'A. History Input &amp; Output'!M$14/'Membership History and Planning'!G$15</f>
        <v>152.50666666666666</v>
      </c>
      <c r="H24" s="269"/>
      <c r="I24" s="269"/>
      <c r="J24" s="270"/>
      <c r="K24" s="269">
        <f>'A. History Input &amp; Output'!O$14/'Membership History and Planning'!K$15</f>
        <v>132.23383409536251</v>
      </c>
      <c r="L24" s="46"/>
      <c r="M24" s="46"/>
      <c r="N24" s="35" t="s">
        <v>152</v>
      </c>
      <c r="Q24" s="269">
        <f>'E. Output'!C$14/'Membership History and Planning'!Q$15</f>
        <v>132.23812600969305</v>
      </c>
      <c r="R24" s="269"/>
      <c r="S24" s="269"/>
      <c r="T24" s="270"/>
      <c r="U24" s="269">
        <f>'E. Output'!E$14/'Membership History and Planning'!U$15</f>
        <v>132.28430626598467</v>
      </c>
      <c r="V24" s="269"/>
      <c r="W24" s="269"/>
      <c r="X24" s="270"/>
      <c r="Y24" s="269">
        <f>'E. Output'!G$14/'Membership History and Planning'!Y$15</f>
        <v>132.37230917431194</v>
      </c>
      <c r="Z24" s="269"/>
      <c r="AA24" s="269"/>
      <c r="AB24" s="270"/>
      <c r="AC24" s="269">
        <f>'E. Output'!I$14/'Membership History and Planning'!AC$15</f>
        <v>132.50210875986224</v>
      </c>
      <c r="AD24" s="269"/>
      <c r="AE24" s="269"/>
      <c r="AF24" s="270"/>
      <c r="AG24" s="269">
        <f>'E. Output'!K$14/'Membership History and Planning'!AG$15</f>
        <v>132.67371783091727</v>
      </c>
    </row>
    <row r="25" spans="1:33" x14ac:dyDescent="0.2">
      <c r="B25" s="35" t="s">
        <v>101</v>
      </c>
      <c r="C25" s="269">
        <f>'A. History Input &amp; Output'!E$30/'Membership History and Planning'!C$15</f>
        <v>199.44980053191489</v>
      </c>
      <c r="D25" s="269">
        <f>'A. History Input &amp; Output'!G$30/'Membership History and Planning'!D$15</f>
        <v>219.7522077922078</v>
      </c>
      <c r="E25" s="269">
        <f>'A. History Input &amp; Output'!I$30/'Membership History and Planning'!E$15</f>
        <v>224.12085635359117</v>
      </c>
      <c r="F25" s="269">
        <f>'A. History Input &amp; Output'!K$30/'Membership History and Planning'!F$15</f>
        <v>260.52091795288385</v>
      </c>
      <c r="G25" s="269">
        <f>'A. History Input &amp; Output'!M$30/'Membership History and Planning'!G$15</f>
        <v>396.19133333333332</v>
      </c>
      <c r="H25" s="269"/>
      <c r="I25" s="269"/>
      <c r="J25" s="270"/>
      <c r="K25" s="269">
        <f>'A. History Input &amp; Output'!O$30/'Membership History and Planning'!K$15</f>
        <v>324.09209666884391</v>
      </c>
      <c r="L25" s="46"/>
      <c r="M25" s="46"/>
      <c r="N25" s="35" t="s">
        <v>153</v>
      </c>
      <c r="Q25" s="269">
        <f>'E. Output'!C$30/'Membership History and Planning'!Q$15</f>
        <v>444.89331434628434</v>
      </c>
      <c r="R25" s="269"/>
      <c r="S25" s="269"/>
      <c r="T25" s="270"/>
      <c r="U25" s="269">
        <f>'E. Output'!E$30/'Membership History and Planning'!U$15</f>
        <v>438.45292848179986</v>
      </c>
      <c r="V25" s="269"/>
      <c r="W25" s="269"/>
      <c r="X25" s="270"/>
      <c r="Y25" s="269">
        <f>'E. Output'!G$30/'Membership History and Planning'!Y$15</f>
        <v>439.1349642062832</v>
      </c>
      <c r="Z25" s="269"/>
      <c r="AA25" s="269"/>
      <c r="AB25" s="270"/>
      <c r="AC25" s="269">
        <f>'E. Output'!I$30/'Membership History and Planning'!AC$15</f>
        <v>438.25076371536147</v>
      </c>
      <c r="AD25" s="269"/>
      <c r="AE25" s="269"/>
      <c r="AF25" s="270"/>
      <c r="AG25" s="269">
        <f>'E. Output'!K$30/'Membership History and Planning'!AG$15</f>
        <v>437.90895320133393</v>
      </c>
    </row>
    <row r="26" spans="1:33" x14ac:dyDescent="0.2">
      <c r="C26" s="269"/>
      <c r="D26" s="269"/>
      <c r="E26" s="269"/>
      <c r="F26" s="269"/>
      <c r="G26" s="269"/>
      <c r="H26" s="269"/>
      <c r="I26" s="269"/>
      <c r="J26" s="270"/>
      <c r="K26" s="269"/>
      <c r="Q26" s="269"/>
      <c r="R26" s="269"/>
      <c r="S26" s="269"/>
      <c r="T26" s="270"/>
      <c r="U26" s="269"/>
      <c r="V26" s="269"/>
      <c r="W26" s="269"/>
      <c r="X26" s="270"/>
      <c r="Y26" s="269"/>
      <c r="Z26" s="269"/>
      <c r="AA26" s="269"/>
      <c r="AB26" s="270"/>
      <c r="AC26" s="269"/>
      <c r="AD26" s="269"/>
      <c r="AE26" s="269"/>
      <c r="AF26" s="270"/>
      <c r="AG26" s="269"/>
    </row>
    <row r="27" spans="1:33" x14ac:dyDescent="0.2">
      <c r="B27" s="35" t="s">
        <v>147</v>
      </c>
      <c r="C27" s="269">
        <f>'A. History Input &amp; Output'!E$34/'Membership History and Planning'!C$15</f>
        <v>108.74119015957447</v>
      </c>
      <c r="D27" s="269">
        <f>'A. History Input &amp; Output'!G$34/'Membership History and Planning'!D$15</f>
        <v>115.44658008658008</v>
      </c>
      <c r="E27" s="269">
        <f>'A. History Input &amp; Output'!I$34/'Membership History and Planning'!E$15</f>
        <v>123.82803867403315</v>
      </c>
      <c r="F27" s="269">
        <f>'A. History Input &amp; Output'!K$34/'Membership History and Planning'!F$15</f>
        <v>133.17810722989441</v>
      </c>
      <c r="G27" s="269">
        <f>'A. History Input &amp; Output'!M$34/'Membership History and Planning'!G$15</f>
        <v>187.97300000000001</v>
      </c>
      <c r="H27" s="269"/>
      <c r="I27" s="269"/>
      <c r="J27" s="270"/>
      <c r="K27" s="269">
        <f>'A. History Input &amp; Output'!O$34/'Membership History and Planning'!K$15</f>
        <v>200.62246897452644</v>
      </c>
      <c r="L27" s="46"/>
      <c r="M27" s="46"/>
      <c r="N27" s="35" t="s">
        <v>154</v>
      </c>
      <c r="Q27" s="269">
        <f>'E. Output'!C$34/'Membership History and Planning'!Q$15</f>
        <v>204.43786106623588</v>
      </c>
      <c r="R27" s="269"/>
      <c r="S27" s="269"/>
      <c r="T27" s="270"/>
      <c r="U27" s="269">
        <f>'E. Output'!E$34/'Membership History and Planning'!U$15</f>
        <v>208.34949980818419</v>
      </c>
      <c r="V27" s="269"/>
      <c r="W27" s="269"/>
      <c r="X27" s="270"/>
      <c r="Y27" s="269">
        <f>'E. Output'!G$34/'Membership History and Planning'!Y$15</f>
        <v>212.35961798861123</v>
      </c>
      <c r="Z27" s="269"/>
      <c r="AA27" s="269"/>
      <c r="AB27" s="270"/>
      <c r="AC27" s="269">
        <f>'E. Output'!I$34/'Membership History and Planning'!AC$15</f>
        <v>216.4705119085348</v>
      </c>
      <c r="AD27" s="269"/>
      <c r="AE27" s="269"/>
      <c r="AF27" s="270"/>
      <c r="AG27" s="269">
        <f>'E. Output'!K$34/'Membership History and Planning'!AG$15</f>
        <v>220.68454276012892</v>
      </c>
    </row>
    <row r="28" spans="1:33" ht="17" thickBot="1" x14ac:dyDescent="0.25">
      <c r="A28" s="108"/>
      <c r="B28" s="188" t="s">
        <v>148</v>
      </c>
      <c r="C28" s="271">
        <f>'A. History Input &amp; Output'!E$38/'Membership History and Planning'!C$15</f>
        <v>195.05817819148936</v>
      </c>
      <c r="D28" s="271">
        <f>'A. History Input &amp; Output'!G$38/'Membership History and Planning'!D$15</f>
        <v>218.08121212121213</v>
      </c>
      <c r="E28" s="271">
        <f>'A. History Input &amp; Output'!I$38/'Membership History and Planning'!E$15</f>
        <v>223.82838397790056</v>
      </c>
      <c r="F28" s="271">
        <f>'A. History Input &amp; Output'!K$38/'Membership History and Planning'!F$15</f>
        <v>254.27315190901706</v>
      </c>
      <c r="G28" s="271">
        <f>'A. History Input &amp; Output'!M$38/'Membership History and Planning'!G$15</f>
        <v>364.68400000000003</v>
      </c>
      <c r="H28" s="271"/>
      <c r="I28" s="271"/>
      <c r="J28" s="272"/>
      <c r="K28" s="271">
        <f>'A. History Input &amp; Output'!O$38/'Membership History and Planning'!K$15</f>
        <v>318.82821685173087</v>
      </c>
      <c r="L28" s="193"/>
      <c r="M28" s="189"/>
      <c r="N28" s="188" t="s">
        <v>155</v>
      </c>
      <c r="O28" s="108"/>
      <c r="P28" s="109"/>
      <c r="Q28" s="271">
        <f>'E. Output'!C$38/'Membership History and Planning'!Q$15</f>
        <v>324.3068917609047</v>
      </c>
      <c r="R28" s="271"/>
      <c r="S28" s="271"/>
      <c r="T28" s="272"/>
      <c r="U28" s="271">
        <f>'E. Output'!E$38/'Membership History and Planning'!U$15</f>
        <v>329.91903825127878</v>
      </c>
      <c r="V28" s="271"/>
      <c r="W28" s="271"/>
      <c r="X28" s="272"/>
      <c r="Y28" s="271">
        <f>'E. Output'!G$38/'Membership History and Planning'!Y$15</f>
        <v>335.66751237527677</v>
      </c>
      <c r="Z28" s="271"/>
      <c r="AA28" s="271"/>
      <c r="AB28" s="272"/>
      <c r="AC28" s="271">
        <f>'E. Output'!I$38/'Membership History and Planning'!AC$15</f>
        <v>341.55525220601641</v>
      </c>
      <c r="AD28" s="271"/>
      <c r="AE28" s="271"/>
      <c r="AF28" s="272"/>
      <c r="AG28" s="271">
        <f>'E. Output'!K$38/'Membership History and Planning'!AG$15</f>
        <v>347.58527936468732</v>
      </c>
    </row>
    <row r="29" spans="1:33" ht="17" thickBot="1" x14ac:dyDescent="0.25">
      <c r="A29" s="190"/>
      <c r="B29" s="190"/>
      <c r="C29" s="273"/>
      <c r="D29" s="273"/>
      <c r="E29" s="273"/>
      <c r="F29" s="273"/>
      <c r="G29" s="273"/>
      <c r="H29" s="273"/>
      <c r="I29" s="273"/>
      <c r="J29" s="274"/>
      <c r="K29" s="273"/>
      <c r="L29" s="192"/>
      <c r="M29" s="108"/>
      <c r="N29" s="108"/>
      <c r="O29" s="108"/>
      <c r="P29" s="109"/>
      <c r="Q29" s="271"/>
      <c r="R29" s="271"/>
      <c r="S29" s="271"/>
      <c r="T29" s="272"/>
      <c r="U29" s="271"/>
      <c r="V29" s="271"/>
      <c r="W29" s="271"/>
      <c r="X29" s="272"/>
      <c r="Y29" s="271"/>
      <c r="Z29" s="271"/>
      <c r="AA29" s="271"/>
      <c r="AB29" s="272"/>
      <c r="AC29" s="271"/>
      <c r="AD29" s="271"/>
      <c r="AE29" s="271"/>
      <c r="AF29" s="272"/>
      <c r="AG29" s="271"/>
    </row>
    <row r="30" spans="1:33" x14ac:dyDescent="0.2">
      <c r="A30" s="33" t="s">
        <v>120</v>
      </c>
      <c r="B30" s="33"/>
      <c r="C30" s="275"/>
      <c r="D30" s="275"/>
      <c r="E30" s="275"/>
      <c r="F30" s="269"/>
      <c r="G30" s="269"/>
      <c r="H30" s="269"/>
      <c r="I30" s="269"/>
      <c r="J30" s="270"/>
      <c r="K30" s="269"/>
      <c r="M30" s="33" t="s">
        <v>120</v>
      </c>
      <c r="Q30" s="269"/>
      <c r="R30" s="269"/>
      <c r="S30" s="269"/>
      <c r="T30" s="270"/>
      <c r="U30" s="269"/>
      <c r="V30" s="269"/>
      <c r="W30" s="269"/>
      <c r="X30" s="270"/>
      <c r="Y30" s="269"/>
      <c r="Z30" s="269"/>
      <c r="AA30" s="269"/>
      <c r="AB30" s="270"/>
      <c r="AC30" s="269"/>
      <c r="AD30" s="269"/>
      <c r="AE30" s="269"/>
      <c r="AF30" s="270"/>
      <c r="AG30" s="269"/>
    </row>
    <row r="31" spans="1:33" x14ac:dyDescent="0.2">
      <c r="C31" s="269"/>
      <c r="D31" s="269"/>
      <c r="E31" s="269"/>
      <c r="F31" s="269"/>
      <c r="G31" s="269"/>
      <c r="H31" s="269"/>
      <c r="I31" s="269"/>
      <c r="J31" s="270"/>
      <c r="K31" s="269"/>
      <c r="Q31" s="269"/>
      <c r="R31" s="269"/>
      <c r="S31" s="269"/>
      <c r="T31" s="270"/>
      <c r="U31" s="269"/>
      <c r="V31" s="269"/>
      <c r="W31" s="269"/>
      <c r="X31" s="270"/>
      <c r="Y31" s="269"/>
      <c r="Z31" s="269"/>
      <c r="AA31" s="269"/>
      <c r="AB31" s="270"/>
      <c r="AC31" s="269"/>
      <c r="AD31" s="269"/>
      <c r="AE31" s="269"/>
      <c r="AF31" s="270"/>
      <c r="AG31" s="269"/>
    </row>
    <row r="32" spans="1:33" x14ac:dyDescent="0.2">
      <c r="B32" s="35" t="s">
        <v>116</v>
      </c>
      <c r="C32" s="269">
        <f>'A. History Input &amp; Output'!E$8/'Membership History and Planning'!C$17</f>
        <v>46.59957140670442</v>
      </c>
      <c r="D32" s="269">
        <f>'A. History Input &amp; Output'!G$8/'Membership History and Planning'!D$17</f>
        <v>38.684095178459614</v>
      </c>
      <c r="E32" s="269">
        <f>'A. History Input &amp; Output'!I$8/'Membership History and Planning'!E$17</f>
        <v>39.666204559457796</v>
      </c>
      <c r="F32" s="269">
        <f>'A. History Input &amp; Output'!K$8/'Membership History and Planning'!F$17</f>
        <v>39.63621353880022</v>
      </c>
      <c r="G32" s="269">
        <f>'A. History Input &amp; Output'!M$8/'Membership History and Planning'!G$17</f>
        <v>81.579541984732828</v>
      </c>
      <c r="H32" s="269"/>
      <c r="I32" s="269"/>
      <c r="J32" s="270"/>
      <c r="K32" s="269">
        <f>'A. History Input &amp; Output'!O$8/'Membership History and Planning'!K$17</f>
        <v>29.958058717795087</v>
      </c>
      <c r="L32" s="46"/>
      <c r="M32" s="46"/>
      <c r="N32" s="35" t="s">
        <v>156</v>
      </c>
      <c r="Q32" s="269">
        <f>'E. Output'!C$8/'Membership History and Planning'!Q$17</f>
        <v>30.545670225385528</v>
      </c>
      <c r="R32" s="269"/>
      <c r="S32" s="269"/>
      <c r="T32" s="270"/>
      <c r="U32" s="269">
        <f>'E. Output'!E$8/'Membership History and Planning'!U$17</f>
        <v>31.14797416324134</v>
      </c>
      <c r="V32" s="269"/>
      <c r="W32" s="269"/>
      <c r="X32" s="270"/>
      <c r="Y32" s="269">
        <f>'E. Output'!G$8/'Membership History and Planning'!Y$17</f>
        <v>31.765319767441859</v>
      </c>
      <c r="Z32" s="269"/>
      <c r="AA32" s="269"/>
      <c r="AB32" s="270"/>
      <c r="AC32" s="269">
        <f>'E. Output'!I$8/'Membership History and Planning'!AC$17</f>
        <v>32.398065918249856</v>
      </c>
      <c r="AD32" s="269"/>
      <c r="AE32" s="269"/>
      <c r="AF32" s="270"/>
      <c r="AG32" s="269">
        <f>'E. Output'!K$8/'Membership History and Planning'!AG$17</f>
        <v>33.046581365450393</v>
      </c>
    </row>
    <row r="33" spans="1:33" x14ac:dyDescent="0.2">
      <c r="B33" s="35" t="s">
        <v>117</v>
      </c>
      <c r="C33" s="269">
        <f>'A. History Input &amp; Output'!E$14/'Membership History and Planning'!C$17</f>
        <v>84.489514771161794</v>
      </c>
      <c r="D33" s="269">
        <f>'A. History Input &amp; Output'!G$14/'Membership History and Planning'!D$17</f>
        <v>81.05760801502818</v>
      </c>
      <c r="E33" s="269">
        <f>'A. History Input &amp; Output'!I$14/'Membership History and Planning'!E$17</f>
        <v>86.169439309919895</v>
      </c>
      <c r="F33" s="269">
        <f>'A. History Input &amp; Output'!K$14/'Membership History and Planning'!F$17</f>
        <v>102.71252981104385</v>
      </c>
      <c r="G33" s="269">
        <f>'A. History Input &amp; Output'!M$14/'Membership History and Planning'!G$17</f>
        <v>139.70076335877863</v>
      </c>
      <c r="H33" s="269"/>
      <c r="I33" s="269"/>
      <c r="J33" s="270"/>
      <c r="K33" s="269">
        <f>'A. History Input &amp; Output'!O$14/'Membership History and Planning'!K$17</f>
        <v>121.30017974835231</v>
      </c>
      <c r="L33" s="46"/>
      <c r="M33" s="46"/>
      <c r="N33" s="35" t="s">
        <v>157</v>
      </c>
      <c r="Q33" s="269">
        <f>'E. Output'!C$14/'Membership History and Planning'!Q$17</f>
        <v>121.37514827995255</v>
      </c>
      <c r="R33" s="269"/>
      <c r="S33" s="269"/>
      <c r="T33" s="270"/>
      <c r="U33" s="269">
        <f>'E. Output'!E$14/'Membership History and Planning'!U$17</f>
        <v>121.48717263652378</v>
      </c>
      <c r="V33" s="269"/>
      <c r="W33" s="269"/>
      <c r="X33" s="270"/>
      <c r="Y33" s="269">
        <f>'E. Output'!G$14/'Membership History and Planning'!Y$17</f>
        <v>121.63629921511628</v>
      </c>
      <c r="Z33" s="269"/>
      <c r="AA33" s="269"/>
      <c r="AB33" s="270"/>
      <c r="AC33" s="269">
        <f>'E. Output'!I$14/'Membership History and Planning'!AC$17</f>
        <v>121.82260661456533</v>
      </c>
      <c r="AD33" s="269"/>
      <c r="AE33" s="269"/>
      <c r="AF33" s="270"/>
      <c r="AG33" s="269">
        <f>'E. Output'!K$14/'Membership History and Planning'!AG$17</f>
        <v>122.04620508562429</v>
      </c>
    </row>
    <row r="34" spans="1:33" x14ac:dyDescent="0.2">
      <c r="B34" s="35" t="s">
        <v>118</v>
      </c>
      <c r="C34" s="269">
        <f>'A. History Input &amp; Output'!E$30/'Membership History and Planning'!C$17</f>
        <v>183.66600336751875</v>
      </c>
      <c r="D34" s="269">
        <f>'A. History Input &amp; Output'!G$30/'Membership History and Planning'!D$17</f>
        <v>198.66452723857233</v>
      </c>
      <c r="E34" s="269">
        <f>'A. History Input &amp; Output'!I$30/'Membership History and Planning'!E$17</f>
        <v>199.95502156500308</v>
      </c>
      <c r="F34" s="269">
        <f>'A. History Input &amp; Output'!K$30/'Membership History and Planning'!F$17</f>
        <v>235.33388369106586</v>
      </c>
      <c r="G34" s="269">
        <f>'A. History Input &amp; Output'!M$30/'Membership History and Planning'!G$17</f>
        <v>362.92335877862598</v>
      </c>
      <c r="H34" s="269"/>
      <c r="I34" s="269"/>
      <c r="J34" s="270"/>
      <c r="K34" s="269">
        <f>'A. History Input &amp; Output'!O$30/'Membership History and Planning'!K$17</f>
        <v>297.2947872977831</v>
      </c>
      <c r="L34" s="46"/>
      <c r="M34" s="46"/>
      <c r="N34" s="35" t="s">
        <v>158</v>
      </c>
      <c r="Q34" s="269">
        <f>'E. Output'!C$30/'Membership History and Planning'!Q$17</f>
        <v>408.34662156042413</v>
      </c>
      <c r="R34" s="269"/>
      <c r="S34" s="269"/>
      <c r="T34" s="270"/>
      <c r="U34" s="269">
        <f>'E. Output'!E$30/'Membership History and Planning'!U$17</f>
        <v>402.66610695568704</v>
      </c>
      <c r="V34" s="269"/>
      <c r="W34" s="269"/>
      <c r="X34" s="270"/>
      <c r="Y34" s="269">
        <f>'E. Output'!G$30/'Membership History and Planning'!Y$17</f>
        <v>403.51907612094806</v>
      </c>
      <c r="Z34" s="269"/>
      <c r="AA34" s="269"/>
      <c r="AB34" s="270"/>
      <c r="AC34" s="269">
        <f>'E. Output'!I$30/'Membership History and Planning'!AC$17</f>
        <v>402.92830722707674</v>
      </c>
      <c r="AD34" s="269"/>
      <c r="AE34" s="269"/>
      <c r="AF34" s="270"/>
      <c r="AG34" s="269">
        <f>'E. Output'!K$30/'Membership History and Planning'!AG$17</f>
        <v>402.8312975999728</v>
      </c>
    </row>
    <row r="35" spans="1:33" x14ac:dyDescent="0.2">
      <c r="C35" s="269"/>
      <c r="D35" s="269"/>
      <c r="E35" s="269"/>
      <c r="F35" s="269"/>
      <c r="G35" s="269"/>
      <c r="H35" s="269"/>
      <c r="I35" s="269"/>
      <c r="J35" s="270"/>
      <c r="K35" s="269"/>
      <c r="Q35" s="269"/>
      <c r="R35" s="269"/>
      <c r="S35" s="269"/>
      <c r="T35" s="270"/>
      <c r="U35" s="269"/>
      <c r="V35" s="269"/>
      <c r="W35" s="269"/>
      <c r="X35" s="270"/>
      <c r="Y35" s="269"/>
      <c r="Z35" s="269"/>
      <c r="AA35" s="269"/>
      <c r="AB35" s="270"/>
      <c r="AC35" s="269"/>
      <c r="AD35" s="269"/>
      <c r="AE35" s="269"/>
      <c r="AF35" s="270"/>
      <c r="AG35" s="269"/>
    </row>
    <row r="36" spans="1:33" x14ac:dyDescent="0.2">
      <c r="B36" s="35" t="s">
        <v>138</v>
      </c>
      <c r="C36" s="269">
        <f>'A. History Input &amp; Output'!E$34/'Membership History and Planning'!C$17</f>
        <v>100.13577223327721</v>
      </c>
      <c r="D36" s="269">
        <f>'A. History Input &amp; Output'!G$34/'Membership History and Planning'!D$17</f>
        <v>104.36819035691923</v>
      </c>
      <c r="E36" s="269">
        <f>'A. History Input &amp; Output'!I$34/'Membership History and Planning'!E$17</f>
        <v>110.47627849661122</v>
      </c>
      <c r="F36" s="269">
        <f>'A. History Input &amp; Output'!K$34/'Membership History and Planning'!F$17</f>
        <v>120.30251330031187</v>
      </c>
      <c r="G36" s="269">
        <f>'A. History Input &amp; Output'!M$34/'Membership History and Planning'!G$17</f>
        <v>172.18900763358778</v>
      </c>
      <c r="H36" s="269"/>
      <c r="I36" s="269"/>
      <c r="J36" s="270"/>
      <c r="K36" s="269">
        <f>'A. History Input &amp; Output'!O$34/'Membership History and Planning'!K$17</f>
        <v>184.03415218693829</v>
      </c>
      <c r="L36" s="46"/>
      <c r="M36" s="46"/>
      <c r="N36" s="35" t="s">
        <v>159</v>
      </c>
      <c r="Q36" s="269">
        <f>'E. Output'!C$34/'Membership History and Planning'!Q$17</f>
        <v>187.64388493475684</v>
      </c>
      <c r="R36" s="269"/>
      <c r="S36" s="269"/>
      <c r="T36" s="270"/>
      <c r="U36" s="269">
        <f>'E. Output'!E$34/'Membership History and Planning'!U$17</f>
        <v>191.34387416324137</v>
      </c>
      <c r="V36" s="269"/>
      <c r="W36" s="269"/>
      <c r="X36" s="270"/>
      <c r="Y36" s="269">
        <f>'E. Output'!G$34/'Membership History and Planning'!Y$17</f>
        <v>195.13626525058143</v>
      </c>
      <c r="Z36" s="269"/>
      <c r="AA36" s="269"/>
      <c r="AB36" s="270"/>
      <c r="AC36" s="269">
        <f>'E. Output'!I$34/'Membership History and Planning'!AC$17</f>
        <v>199.023262819764</v>
      </c>
      <c r="AD36" s="269"/>
      <c r="AE36" s="269"/>
      <c r="AF36" s="270"/>
      <c r="AG36" s="269">
        <f>'E. Output'!K$34/'Membership History and Planning'!AG$17</f>
        <v>203.00713212284379</v>
      </c>
    </row>
    <row r="37" spans="1:33" ht="17" thickBot="1" x14ac:dyDescent="0.25">
      <c r="A37" s="108"/>
      <c r="B37" s="191" t="s">
        <v>146</v>
      </c>
      <c r="C37" s="271">
        <f>'A. History Input &amp; Output'!E$38/'Membership History and Planning'!C$17</f>
        <v>179.62191948568804</v>
      </c>
      <c r="D37" s="271">
        <f>'A. History Input &amp; Output'!G$38/'Membership History and Planning'!D$17</f>
        <v>197.15388227927363</v>
      </c>
      <c r="E37" s="271">
        <f>'A. History Input &amp; Output'!I$38/'Membership History and Planning'!E$17</f>
        <v>199.69408502772643</v>
      </c>
      <c r="F37" s="271">
        <f>'A. History Input &amp; Output'!K$38/'Membership History and Planning'!F$17</f>
        <v>229.69014859658779</v>
      </c>
      <c r="G37" s="271">
        <f>'A. History Input &amp; Output'!M$38/'Membership History and Planning'!G$17</f>
        <v>334.06167938931299</v>
      </c>
      <c r="H37" s="271"/>
      <c r="I37" s="271"/>
      <c r="J37" s="272"/>
      <c r="K37" s="271">
        <f>'A. History Input &amp; Output'!O$38/'Membership History and Planning'!K$17</f>
        <v>292.4661473936489</v>
      </c>
      <c r="L37" s="193"/>
      <c r="M37" s="189"/>
      <c r="N37" s="191" t="s">
        <v>160</v>
      </c>
      <c r="O37" s="108"/>
      <c r="P37" s="109"/>
      <c r="Q37" s="271">
        <f>'E. Output'!C$38/'Membership History and Planning'!Q$17</f>
        <v>297.6660231316726</v>
      </c>
      <c r="R37" s="271"/>
      <c r="S37" s="271"/>
      <c r="T37" s="272"/>
      <c r="U37" s="271">
        <f>'E. Output'!E$38/'Membership History and Planning'!U$17</f>
        <v>302.99082549911918</v>
      </c>
      <c r="V37" s="271"/>
      <c r="W37" s="271"/>
      <c r="X37" s="272"/>
      <c r="Y37" s="271">
        <f>'E. Output'!G$38/'Membership History and Planning'!Y$17</f>
        <v>308.44331587739822</v>
      </c>
      <c r="Z37" s="271"/>
      <c r="AA37" s="271"/>
      <c r="AB37" s="272"/>
      <c r="AC37" s="271">
        <f>'E. Output'!I$38/'Membership History and Planning'!AC$17</f>
        <v>314.02633147553723</v>
      </c>
      <c r="AD37" s="271"/>
      <c r="AE37" s="271"/>
      <c r="AF37" s="272"/>
      <c r="AG37" s="271">
        <f>'E. Output'!K$38/'Membership History and Planning'!AG$17</f>
        <v>319.74278691842818</v>
      </c>
    </row>
  </sheetData>
  <phoneticPr fontId="2" type="noConversion"/>
  <printOptions horizontalCentered="1" verticalCentered="1" gridLines="1"/>
  <pageMargins left="0.25" right="0.25" top="1" bottom="1" header="0.5" footer="0.5"/>
  <pageSetup scale="38" orientation="landscape" horizontalDpi="4294967292" verticalDpi="429496729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36D46-9569-3F44-ABE4-EEE6648D0F24}">
  <sheetPr>
    <tabColor rgb="FFFFFF00"/>
    <pageSetUpPr fitToPage="1"/>
  </sheetPr>
  <dimension ref="A1:H24"/>
  <sheetViews>
    <sheetView zoomScale="118" zoomScaleNormal="118" workbookViewId="0">
      <selection activeCell="D11" sqref="D11"/>
    </sheetView>
  </sheetViews>
  <sheetFormatPr baseColWidth="10" defaultColWidth="9.1640625" defaultRowHeight="16" x14ac:dyDescent="0.2"/>
  <cols>
    <col min="1" max="1" width="8.83203125" style="34" customWidth="1"/>
    <col min="2" max="2" width="45" style="34" customWidth="1"/>
    <col min="3" max="3" width="10.5" style="34" bestFit="1" customWidth="1"/>
    <col min="4" max="4" width="13.5" style="34" customWidth="1"/>
    <col min="5" max="5" width="15" style="34" customWidth="1"/>
    <col min="6" max="6" width="11.1640625" style="34" customWidth="1"/>
    <col min="7" max="7" width="12.6640625" style="34" bestFit="1" customWidth="1"/>
    <col min="8" max="16384" width="9.1640625" style="34"/>
  </cols>
  <sheetData>
    <row r="1" spans="1:8" s="35" customFormat="1" x14ac:dyDescent="0.2">
      <c r="A1" s="35" t="s">
        <v>191</v>
      </c>
    </row>
    <row r="2" spans="1:8" x14ac:dyDescent="0.2">
      <c r="C2" s="43">
        <f>[1]Setup!B4</f>
        <v>2021</v>
      </c>
      <c r="D2" s="43" t="s">
        <v>192</v>
      </c>
      <c r="E2" s="43" t="s">
        <v>193</v>
      </c>
      <c r="F2" s="43" t="s">
        <v>212</v>
      </c>
      <c r="G2" s="43" t="s">
        <v>194</v>
      </c>
      <c r="H2" s="43"/>
    </row>
    <row r="3" spans="1:8" x14ac:dyDescent="0.2">
      <c r="A3" s="183" t="s">
        <v>112</v>
      </c>
      <c r="C3" s="43" t="s">
        <v>113</v>
      </c>
      <c r="D3" s="43" t="s">
        <v>195</v>
      </c>
      <c r="E3" s="43" t="s">
        <v>200</v>
      </c>
      <c r="F3" s="43" t="s">
        <v>213</v>
      </c>
      <c r="G3" s="43" t="s">
        <v>196</v>
      </c>
      <c r="H3" s="43"/>
    </row>
    <row r="4" spans="1:8" x14ac:dyDescent="0.2">
      <c r="C4" s="35" t="s">
        <v>133</v>
      </c>
    </row>
    <row r="5" spans="1:8" x14ac:dyDescent="0.2">
      <c r="C5" s="283" t="s">
        <v>205</v>
      </c>
      <c r="D5" s="283" t="s">
        <v>204</v>
      </c>
      <c r="E5" s="283" t="s">
        <v>206</v>
      </c>
      <c r="F5" s="283" t="s">
        <v>207</v>
      </c>
      <c r="G5" s="283" t="s">
        <v>208</v>
      </c>
    </row>
    <row r="6" spans="1:8" x14ac:dyDescent="0.2">
      <c r="B6" s="182" t="s">
        <v>127</v>
      </c>
      <c r="C6" s="339">
        <f>'Membership History and Planning'!K10</f>
        <v>1320</v>
      </c>
      <c r="D6" s="340">
        <v>75</v>
      </c>
      <c r="E6" s="341">
        <v>0.5</v>
      </c>
      <c r="F6" s="339">
        <f>E6*C6</f>
        <v>660</v>
      </c>
      <c r="G6" s="343">
        <f>F6*D6</f>
        <v>49500</v>
      </c>
    </row>
    <row r="7" spans="1:8" x14ac:dyDescent="0.2">
      <c r="C7" s="339"/>
      <c r="D7" s="344"/>
      <c r="E7" s="345"/>
      <c r="F7" s="339"/>
      <c r="G7" s="343"/>
    </row>
    <row r="8" spans="1:8" x14ac:dyDescent="0.2">
      <c r="B8" s="182" t="s">
        <v>177</v>
      </c>
      <c r="C8" s="339">
        <f>'Membership History and Planning'!K12</f>
        <v>1418</v>
      </c>
      <c r="D8" s="340">
        <v>75</v>
      </c>
      <c r="E8" s="341">
        <v>0.5</v>
      </c>
      <c r="F8" s="339">
        <f>E8*C8</f>
        <v>709</v>
      </c>
      <c r="G8" s="343">
        <f>F8*D8</f>
        <v>53175</v>
      </c>
    </row>
    <row r="9" spans="1:8" x14ac:dyDescent="0.2">
      <c r="C9" s="339"/>
      <c r="D9" s="344"/>
      <c r="E9" s="345"/>
      <c r="F9" s="339"/>
      <c r="G9" s="343"/>
    </row>
    <row r="10" spans="1:8" x14ac:dyDescent="0.2">
      <c r="B10" s="182" t="s">
        <v>109</v>
      </c>
      <c r="C10" s="339">
        <f>'Membership History and Planning'!K14</f>
        <v>324</v>
      </c>
      <c r="D10" s="340">
        <v>75</v>
      </c>
      <c r="E10" s="341">
        <v>0.5</v>
      </c>
      <c r="F10" s="339">
        <f>E10*C10</f>
        <v>162</v>
      </c>
      <c r="G10" s="343">
        <f>F10*D10</f>
        <v>12150</v>
      </c>
    </row>
    <row r="11" spans="1:8" x14ac:dyDescent="0.2">
      <c r="B11" s="182"/>
      <c r="C11" s="339"/>
      <c r="D11" s="344"/>
      <c r="E11" s="156"/>
      <c r="F11" s="339"/>
      <c r="G11" s="343"/>
    </row>
    <row r="12" spans="1:8" x14ac:dyDescent="0.2">
      <c r="B12" s="182" t="s">
        <v>110</v>
      </c>
      <c r="C12" s="339">
        <f>'Membership History and Planning'!K16</f>
        <v>276</v>
      </c>
      <c r="D12" s="340">
        <v>45</v>
      </c>
      <c r="E12" s="341">
        <v>0.9</v>
      </c>
      <c r="F12" s="339">
        <f>E12*C12</f>
        <v>248.4</v>
      </c>
      <c r="G12" s="343">
        <f>F12*D12</f>
        <v>11178</v>
      </c>
    </row>
    <row r="13" spans="1:8" x14ac:dyDescent="0.2">
      <c r="C13" s="339"/>
      <c r="D13" s="344"/>
      <c r="E13" s="345"/>
      <c r="F13" s="339"/>
      <c r="G13" s="343"/>
    </row>
    <row r="14" spans="1:8" x14ac:dyDescent="0.2">
      <c r="B14" s="34" t="s">
        <v>197</v>
      </c>
      <c r="C14" s="339">
        <f>'Membership History and Planning'!K19</f>
        <v>1101</v>
      </c>
      <c r="D14" s="340">
        <f>D12</f>
        <v>45</v>
      </c>
      <c r="E14" s="341">
        <v>0.9</v>
      </c>
      <c r="F14" s="339">
        <f>E14*C14</f>
        <v>990.9</v>
      </c>
      <c r="G14" s="343">
        <f>F14*D14</f>
        <v>44590.5</v>
      </c>
    </row>
    <row r="15" spans="1:8" ht="17" thickBot="1" x14ac:dyDescent="0.25">
      <c r="C15" s="342"/>
      <c r="D15" s="156"/>
      <c r="E15" s="156"/>
      <c r="F15" s="156"/>
      <c r="G15" s="346"/>
    </row>
    <row r="16" spans="1:8" ht="19" thickBot="1" x14ac:dyDescent="0.25">
      <c r="B16" s="34" t="s">
        <v>198</v>
      </c>
      <c r="C16" s="347"/>
      <c r="D16" s="347"/>
      <c r="E16" s="347"/>
      <c r="F16" s="347"/>
      <c r="G16" s="348">
        <f>SUM(G6:G14)</f>
        <v>170593.5</v>
      </c>
    </row>
    <row r="20" spans="2:4" ht="18" x14ac:dyDescent="0.2">
      <c r="B20" s="351" t="s">
        <v>203</v>
      </c>
      <c r="C20" s="34" t="s">
        <v>205</v>
      </c>
      <c r="D20" s="34" t="s">
        <v>209</v>
      </c>
    </row>
    <row r="21" spans="2:4" x14ac:dyDescent="0.2">
      <c r="C21" s="34" t="s">
        <v>204</v>
      </c>
      <c r="D21" s="34" t="s">
        <v>210</v>
      </c>
    </row>
    <row r="22" spans="2:4" x14ac:dyDescent="0.2">
      <c r="C22" s="34" t="s">
        <v>206</v>
      </c>
      <c r="D22" s="34" t="s">
        <v>211</v>
      </c>
    </row>
    <row r="23" spans="2:4" x14ac:dyDescent="0.2">
      <c r="C23" s="34" t="s">
        <v>207</v>
      </c>
      <c r="D23" s="34" t="s">
        <v>216</v>
      </c>
    </row>
    <row r="24" spans="2:4" x14ac:dyDescent="0.2">
      <c r="C24" s="34" t="s">
        <v>208</v>
      </c>
      <c r="D24" s="34" t="s">
        <v>214</v>
      </c>
    </row>
  </sheetData>
  <printOptions horizontalCentered="1" verticalCentered="1" gridLines="1"/>
  <pageMargins left="0.7" right="0.7" top="0.75" bottom="0.75" header="0.3" footer="0.3"/>
  <pageSetup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2:AR87"/>
  <sheetViews>
    <sheetView showGridLines="0" zoomScale="120" zoomScaleNormal="12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S20" sqref="S20"/>
    </sheetView>
  </sheetViews>
  <sheetFormatPr baseColWidth="10" defaultColWidth="9.1640625" defaultRowHeight="11" x14ac:dyDescent="0.15"/>
  <cols>
    <col min="1" max="1" width="2" style="1" customWidth="1"/>
    <col min="2" max="2" width="38" style="1" customWidth="1"/>
    <col min="3" max="3" width="12.33203125" style="1" customWidth="1"/>
    <col min="4" max="4" width="7.83203125" style="1" customWidth="1"/>
    <col min="5" max="5" width="12.33203125" style="1" customWidth="1"/>
    <col min="6" max="6" width="9" style="1" customWidth="1"/>
    <col min="7" max="7" width="12.33203125" style="1" customWidth="1"/>
    <col min="8" max="8" width="7.6640625" style="1" customWidth="1"/>
    <col min="9" max="9" width="12.33203125" style="1" customWidth="1"/>
    <col min="10" max="10" width="7.6640625" style="1" customWidth="1"/>
    <col min="11" max="11" width="12.33203125" style="1" customWidth="1"/>
    <col min="12" max="12" width="7.6640625" style="1" customWidth="1"/>
    <col min="13" max="13" width="12.33203125" style="1" customWidth="1"/>
    <col min="14" max="14" width="7.6640625" style="1" customWidth="1"/>
    <col min="15" max="15" width="12.33203125" style="1" customWidth="1"/>
    <col min="16" max="16" width="7.6640625" style="1" customWidth="1"/>
    <col min="17" max="17" width="4.1640625" style="1" customWidth="1"/>
    <col min="18" max="18" width="45.1640625" style="1" customWidth="1"/>
    <col min="19" max="19" width="12.33203125" style="1" customWidth="1"/>
    <col min="20" max="20" width="7.6640625" style="1" customWidth="1"/>
    <col min="21" max="21" width="12.33203125" style="1" customWidth="1"/>
    <col min="22" max="22" width="7.6640625" style="1" customWidth="1"/>
    <col min="23" max="23" width="12.33203125" style="1" customWidth="1"/>
    <col min="24" max="24" width="7.6640625" style="1" customWidth="1"/>
    <col min="25" max="25" width="12.33203125" style="1" customWidth="1"/>
    <col min="26" max="26" width="7.6640625" style="1" customWidth="1"/>
    <col min="27" max="27" width="12.33203125" style="1" customWidth="1"/>
    <col min="28" max="28" width="9.83203125" style="1" customWidth="1"/>
    <col min="29" max="29" width="9.1640625" style="1" hidden="1" customWidth="1"/>
    <col min="30" max="30" width="7.6640625" style="1" hidden="1" customWidth="1"/>
    <col min="31" max="31" width="9.1640625" style="1" hidden="1" customWidth="1"/>
    <col min="32" max="32" width="7.6640625" style="1" hidden="1" customWidth="1"/>
    <col min="33" max="33" width="9.1640625" style="1" hidden="1" customWidth="1"/>
    <col min="34" max="34" width="7.6640625" style="1" hidden="1" customWidth="1"/>
    <col min="35" max="35" width="9.1640625" style="1" hidden="1" customWidth="1"/>
    <col min="36" max="36" width="7.6640625" style="1" hidden="1" customWidth="1"/>
    <col min="37" max="37" width="9.1640625" style="1" hidden="1" customWidth="1"/>
    <col min="38" max="38" width="7.6640625" style="1" hidden="1" customWidth="1"/>
    <col min="39" max="39" width="9.1640625" style="1" hidden="1" customWidth="1"/>
    <col min="40" max="40" width="7.6640625" style="1" hidden="1" customWidth="1"/>
    <col min="41" max="41" width="9.1640625" style="1" customWidth="1"/>
    <col min="42" max="16384" width="9.1640625" style="1"/>
  </cols>
  <sheetData>
    <row r="2" spans="1:40" ht="18" customHeight="1" x14ac:dyDescent="0.2">
      <c r="A2" s="106" t="s">
        <v>41</v>
      </c>
      <c r="G2" s="41" t="str">
        <f>Setup!B2</f>
        <v xml:space="preserve">Five Year Operating and Membership Plan </v>
      </c>
    </row>
    <row r="3" spans="1:40" ht="26" x14ac:dyDescent="0.4">
      <c r="A3" s="390" t="str">
        <f>Setup!B6&amp;" Council Operating Fund History"</f>
        <v>Sample Council- #0325 Council Operating Fund History</v>
      </c>
      <c r="B3" s="390"/>
      <c r="C3" s="390"/>
      <c r="D3" s="390"/>
      <c r="E3" s="390"/>
      <c r="F3" s="390"/>
      <c r="G3" s="390"/>
      <c r="H3" s="390"/>
      <c r="I3" s="390"/>
      <c r="J3" s="390"/>
      <c r="K3" s="390"/>
      <c r="L3" s="390"/>
      <c r="M3" s="390"/>
      <c r="N3" s="390"/>
      <c r="S3" s="185" t="str">
        <f>Setup!B6&amp;" Five Year Plan"</f>
        <v>Sample Council- #0325 Five Year Plan</v>
      </c>
    </row>
    <row r="4" spans="1:40" ht="18.75" customHeight="1" x14ac:dyDescent="0.2">
      <c r="A4" s="34"/>
      <c r="B4" s="34"/>
      <c r="C4" s="43">
        <f>Setup!$B4-6</f>
        <v>2016</v>
      </c>
      <c r="D4" s="43"/>
      <c r="E4" s="43">
        <f>Setup!$B4-5</f>
        <v>2017</v>
      </c>
      <c r="F4" s="43"/>
      <c r="G4" s="43">
        <f>Setup!$B4-4</f>
        <v>2018</v>
      </c>
      <c r="H4" s="43"/>
      <c r="I4" s="43">
        <f>Setup!$B4-3</f>
        <v>2019</v>
      </c>
      <c r="J4" s="43"/>
      <c r="K4" s="43">
        <f>Setup!$B4-2</f>
        <v>2020</v>
      </c>
      <c r="L4" s="43"/>
      <c r="M4" s="43">
        <f>Setup!$B4-1</f>
        <v>2021</v>
      </c>
      <c r="N4" s="43"/>
      <c r="O4" s="43">
        <f>Setup!$B4</f>
        <v>2022</v>
      </c>
      <c r="P4" s="43"/>
      <c r="Q4" s="43"/>
      <c r="R4" s="43"/>
      <c r="S4" s="43">
        <f>Setup!$B4+1</f>
        <v>2023</v>
      </c>
      <c r="T4" s="43"/>
      <c r="U4" s="43">
        <f>Setup!$B4+2</f>
        <v>2024</v>
      </c>
      <c r="V4" s="43"/>
      <c r="W4" s="43">
        <f>Setup!$B4+3</f>
        <v>2025</v>
      </c>
      <c r="X4" s="43"/>
      <c r="Y4" s="43">
        <f>Setup!$B4+4</f>
        <v>2026</v>
      </c>
      <c r="Z4" s="43"/>
      <c r="AA4" s="43">
        <f>Setup!$B4+5</f>
        <v>2027</v>
      </c>
      <c r="AB4" s="43"/>
      <c r="AC4" s="43">
        <v>2022</v>
      </c>
      <c r="AD4" s="43"/>
      <c r="AE4" s="43">
        <v>2023</v>
      </c>
      <c r="AF4" s="43"/>
      <c r="AG4" s="43">
        <v>2024</v>
      </c>
      <c r="AH4" s="43"/>
      <c r="AI4" s="43">
        <v>2025</v>
      </c>
      <c r="AJ4" s="43"/>
      <c r="AK4" s="43">
        <v>2026</v>
      </c>
      <c r="AL4" s="43"/>
      <c r="AM4" s="43">
        <v>2027</v>
      </c>
    </row>
    <row r="5" spans="1:40" ht="16" x14ac:dyDescent="0.2">
      <c r="A5" s="34"/>
      <c r="B5" s="34"/>
      <c r="C5" s="111" t="s">
        <v>96</v>
      </c>
      <c r="D5" s="146" t="s">
        <v>31</v>
      </c>
      <c r="E5" s="111" t="s">
        <v>96</v>
      </c>
      <c r="F5" s="146" t="s">
        <v>31</v>
      </c>
      <c r="G5" s="111" t="s">
        <v>96</v>
      </c>
      <c r="H5" s="146" t="s">
        <v>31</v>
      </c>
      <c r="I5" s="111" t="s">
        <v>96</v>
      </c>
      <c r="J5" s="146" t="s">
        <v>31</v>
      </c>
      <c r="K5" s="111" t="s">
        <v>96</v>
      </c>
      <c r="L5" s="146" t="s">
        <v>31</v>
      </c>
      <c r="M5" s="198" t="s">
        <v>96</v>
      </c>
      <c r="N5" s="146" t="s">
        <v>31</v>
      </c>
      <c r="O5" s="111" t="s">
        <v>97</v>
      </c>
      <c r="P5" s="146" t="s">
        <v>31</v>
      </c>
      <c r="Q5" s="146"/>
      <c r="R5" s="146"/>
      <c r="S5" s="112" t="s">
        <v>131</v>
      </c>
      <c r="T5" s="146" t="s">
        <v>31</v>
      </c>
      <c r="U5" s="112" t="s">
        <v>131</v>
      </c>
      <c r="V5" s="146" t="s">
        <v>31</v>
      </c>
      <c r="W5" s="112" t="s">
        <v>131</v>
      </c>
      <c r="X5" s="146" t="s">
        <v>31</v>
      </c>
      <c r="Y5" s="112" t="s">
        <v>131</v>
      </c>
      <c r="Z5" s="146" t="s">
        <v>31</v>
      </c>
      <c r="AA5" s="112" t="s">
        <v>131</v>
      </c>
      <c r="AB5" s="34"/>
      <c r="AC5" s="44"/>
      <c r="AE5" s="44"/>
      <c r="AG5" s="44"/>
      <c r="AI5" s="44"/>
      <c r="AK5" s="44"/>
      <c r="AM5" s="44"/>
    </row>
    <row r="6" spans="1:40" ht="15" customHeight="1" x14ac:dyDescent="0.2">
      <c r="A6" s="33" t="s">
        <v>38</v>
      </c>
      <c r="B6" s="34"/>
      <c r="C6" s="113"/>
      <c r="D6" s="146"/>
      <c r="E6" s="113"/>
      <c r="F6" s="146"/>
      <c r="G6" s="113"/>
      <c r="H6" s="146"/>
      <c r="I6" s="113"/>
      <c r="J6" s="146"/>
      <c r="K6" s="113"/>
      <c r="L6" s="146"/>
      <c r="M6" s="113"/>
      <c r="N6" s="146"/>
      <c r="O6" s="34"/>
      <c r="P6" s="37"/>
      <c r="Q6" s="33" t="s">
        <v>38</v>
      </c>
      <c r="R6" s="34"/>
      <c r="S6" s="34"/>
      <c r="T6" s="37"/>
      <c r="U6" s="34"/>
      <c r="V6" s="37"/>
      <c r="W6" s="34"/>
      <c r="X6" s="37"/>
      <c r="Y6" s="34"/>
      <c r="Z6" s="37"/>
      <c r="AA6" s="34"/>
      <c r="AB6" s="34"/>
    </row>
    <row r="7" spans="1:40" ht="6" customHeight="1" x14ac:dyDescent="0.2">
      <c r="A7" s="33"/>
      <c r="B7" s="34"/>
      <c r="C7" s="113"/>
      <c r="D7" s="146"/>
      <c r="E7" s="113"/>
      <c r="F7" s="146"/>
      <c r="G7" s="113"/>
      <c r="H7" s="146"/>
      <c r="I7" s="113"/>
      <c r="J7" s="146"/>
      <c r="K7" s="113"/>
      <c r="L7" s="146"/>
      <c r="M7" s="113"/>
      <c r="N7" s="146"/>
      <c r="O7" s="34"/>
      <c r="P7" s="37"/>
      <c r="Q7" s="33"/>
      <c r="R7" s="34"/>
      <c r="S7" s="34"/>
      <c r="T7" s="37"/>
      <c r="U7" s="34"/>
      <c r="V7" s="37"/>
      <c r="W7" s="34"/>
      <c r="X7" s="37"/>
      <c r="Y7" s="34"/>
      <c r="Z7" s="37"/>
      <c r="AA7" s="34"/>
      <c r="AB7" s="34"/>
    </row>
    <row r="8" spans="1:40" ht="15" customHeight="1" thickBot="1" x14ac:dyDescent="0.25">
      <c r="A8" s="34"/>
      <c r="B8" s="34" t="s">
        <v>15</v>
      </c>
      <c r="C8" s="207">
        <v>300900</v>
      </c>
      <c r="D8" s="147">
        <f t="shared" ref="D8:D25" si="0">C8/C$30</f>
        <v>0.2454088802292114</v>
      </c>
      <c r="E8" s="207">
        <f>13146+291289</f>
        <v>304435</v>
      </c>
      <c r="F8" s="147">
        <f t="shared" ref="F8:F26" si="1">E8/E$30</f>
        <v>0.25371909091666733</v>
      </c>
      <c r="G8" s="114">
        <f>245314+1800</f>
        <v>247114</v>
      </c>
      <c r="H8" s="147">
        <f t="shared" ref="H8:H30" si="2">G8/G$30</f>
        <v>0.1947206968257833</v>
      </c>
      <c r="I8" s="114">
        <v>257513</v>
      </c>
      <c r="J8" s="147">
        <f t="shared" ref="J8:J27" si="3">I8/I$30</f>
        <v>0.19837563592551621</v>
      </c>
      <c r="K8" s="114">
        <f>13104+202953</f>
        <v>216057</v>
      </c>
      <c r="L8" s="147">
        <f t="shared" ref="L8:L30" si="4">K8/K$30</f>
        <v>0.1684254426822471</v>
      </c>
      <c r="M8" s="114">
        <f>3795+263378</f>
        <v>267173</v>
      </c>
      <c r="N8" s="147">
        <f t="shared" ref="N8:N25" si="5">M8/M$30</f>
        <v>0.22478448964894066</v>
      </c>
      <c r="O8" s="114">
        <v>100000</v>
      </c>
      <c r="P8" s="147">
        <f t="shared" ref="P8:P30" si="6">O8/O$30</f>
        <v>0.10076886645102129</v>
      </c>
      <c r="Q8" s="34"/>
      <c r="R8" s="34" t="s">
        <v>15</v>
      </c>
      <c r="S8" s="116">
        <f>'E. Output'!C8</f>
        <v>103000</v>
      </c>
      <c r="T8" s="147">
        <f t="shared" ref="T8:T30" si="7">S8/S$30</f>
        <v>7.4803288707668683E-2</v>
      </c>
      <c r="U8" s="116">
        <f>'E. Output'!E8</f>
        <v>106090</v>
      </c>
      <c r="V8" s="147">
        <f t="shared" ref="V8:V30" si="8">U8/U$30</f>
        <v>7.7354347994998102E-2</v>
      </c>
      <c r="W8" s="116">
        <f>'E. Output'!G8</f>
        <v>109272.7</v>
      </c>
      <c r="X8" s="147">
        <f t="shared" ref="X8:X30" si="9">W8/W$30</f>
        <v>7.8720738738806834E-2</v>
      </c>
      <c r="Y8" s="116">
        <f>'E. Output'!I8</f>
        <v>112550.88099999999</v>
      </c>
      <c r="Z8" s="147">
        <f t="shared" ref="Z8:Z25" si="10">Y8/Y$30</f>
        <v>8.0406527258437083E-2</v>
      </c>
      <c r="AA8" s="116">
        <f>'E. Output'!K8</f>
        <v>115927.40742999999</v>
      </c>
      <c r="AB8" s="115">
        <f t="shared" ref="AB8:AB30" si="11">AA8/AA$30</f>
        <v>8.2035784116920682E-2</v>
      </c>
      <c r="AC8" s="10">
        <v>0</v>
      </c>
      <c r="AD8" s="15" t="e">
        <f t="shared" ref="AD8:AD25" si="12">AC8/AC$30</f>
        <v>#DIV/0!</v>
      </c>
      <c r="AE8" s="10">
        <v>0</v>
      </c>
      <c r="AF8" s="15" t="e">
        <f t="shared" ref="AF8:AF25" si="13">AE8/AE$30</f>
        <v>#DIV/0!</v>
      </c>
      <c r="AG8" s="10">
        <v>0</v>
      </c>
      <c r="AH8" s="15" t="e">
        <f t="shared" ref="AH8:AH25" si="14">AG8/AG$30</f>
        <v>#DIV/0!</v>
      </c>
      <c r="AI8" s="10">
        <v>0</v>
      </c>
      <c r="AJ8" s="15" t="e">
        <f t="shared" ref="AJ8:AJ25" si="15">AI8/AI$30</f>
        <v>#DIV/0!</v>
      </c>
      <c r="AK8" s="10">
        <v>0</v>
      </c>
      <c r="AL8" s="15" t="e">
        <f t="shared" ref="AL8:AL25" si="16">AK8/AK$30</f>
        <v>#DIV/0!</v>
      </c>
      <c r="AM8" s="10">
        <v>0</v>
      </c>
      <c r="AN8" s="15" t="e">
        <f t="shared" ref="AN8:AN25" si="17">AM8/AM$30</f>
        <v>#DIV/0!</v>
      </c>
    </row>
    <row r="9" spans="1:40" ht="15" customHeight="1" thickBot="1" x14ac:dyDescent="0.25">
      <c r="A9" s="34"/>
      <c r="B9" s="34" t="s">
        <v>13</v>
      </c>
      <c r="C9" s="207">
        <v>200</v>
      </c>
      <c r="D9" s="147">
        <f t="shared" si="0"/>
        <v>1.6311657044148315E-4</v>
      </c>
      <c r="E9" s="207">
        <v>0</v>
      </c>
      <c r="F9" s="147">
        <f t="shared" si="1"/>
        <v>0</v>
      </c>
      <c r="G9" s="114">
        <v>3993</v>
      </c>
      <c r="H9" s="147">
        <f t="shared" si="2"/>
        <v>3.1464010231122184E-3</v>
      </c>
      <c r="I9" s="114">
        <v>500</v>
      </c>
      <c r="J9" s="147">
        <f t="shared" si="3"/>
        <v>3.8517596378729658E-4</v>
      </c>
      <c r="K9" s="114">
        <v>0</v>
      </c>
      <c r="L9" s="147">
        <f t="shared" si="4"/>
        <v>0</v>
      </c>
      <c r="M9" s="114">
        <v>0</v>
      </c>
      <c r="N9" s="147">
        <f t="shared" si="5"/>
        <v>0</v>
      </c>
      <c r="O9" s="114">
        <v>0</v>
      </c>
      <c r="P9" s="147">
        <f t="shared" si="6"/>
        <v>0</v>
      </c>
      <c r="Q9" s="34"/>
      <c r="R9" s="34" t="s">
        <v>13</v>
      </c>
      <c r="S9" s="116">
        <f>'E. Output'!C9</f>
        <v>0</v>
      </c>
      <c r="T9" s="147">
        <f t="shared" si="7"/>
        <v>0</v>
      </c>
      <c r="U9" s="116">
        <f>'E. Output'!E9</f>
        <v>0</v>
      </c>
      <c r="V9" s="147">
        <f t="shared" si="8"/>
        <v>0</v>
      </c>
      <c r="W9" s="116">
        <f>'E. Output'!G9</f>
        <v>0</v>
      </c>
      <c r="X9" s="147">
        <f t="shared" si="9"/>
        <v>0</v>
      </c>
      <c r="Y9" s="116">
        <f>'E. Output'!I9</f>
        <v>0</v>
      </c>
      <c r="Z9" s="147">
        <f t="shared" si="10"/>
        <v>0</v>
      </c>
      <c r="AA9" s="116">
        <f>'E. Output'!K9</f>
        <v>0</v>
      </c>
      <c r="AB9" s="115">
        <f t="shared" si="11"/>
        <v>0</v>
      </c>
      <c r="AC9" s="10">
        <v>0</v>
      </c>
      <c r="AD9" s="15" t="e">
        <f t="shared" si="12"/>
        <v>#DIV/0!</v>
      </c>
      <c r="AE9" s="10">
        <v>0</v>
      </c>
      <c r="AF9" s="15" t="e">
        <f t="shared" si="13"/>
        <v>#DIV/0!</v>
      </c>
      <c r="AG9" s="10">
        <v>0</v>
      </c>
      <c r="AH9" s="15" t="e">
        <f t="shared" si="14"/>
        <v>#DIV/0!</v>
      </c>
      <c r="AI9" s="10">
        <v>0</v>
      </c>
      <c r="AJ9" s="15" t="e">
        <f t="shared" si="15"/>
        <v>#DIV/0!</v>
      </c>
      <c r="AK9" s="10">
        <v>0</v>
      </c>
      <c r="AL9" s="15" t="e">
        <f t="shared" si="16"/>
        <v>#DIV/0!</v>
      </c>
      <c r="AM9" s="10">
        <v>0</v>
      </c>
      <c r="AN9" s="15" t="e">
        <f t="shared" si="17"/>
        <v>#DIV/0!</v>
      </c>
    </row>
    <row r="10" spans="1:40" ht="15" customHeight="1" thickBot="1" x14ac:dyDescent="0.25">
      <c r="A10" s="34"/>
      <c r="B10" s="34" t="s">
        <v>16</v>
      </c>
      <c r="C10" s="207">
        <v>140225</v>
      </c>
      <c r="D10" s="147">
        <f t="shared" si="0"/>
        <v>0.11436510545078488</v>
      </c>
      <c r="E10" s="207">
        <v>104316</v>
      </c>
      <c r="F10" s="147">
        <f t="shared" si="1"/>
        <v>8.6937969313853766E-2</v>
      </c>
      <c r="G10" s="114">
        <f>122126+2590</f>
        <v>124716</v>
      </c>
      <c r="H10" s="147">
        <f t="shared" si="2"/>
        <v>9.8273616328190191E-2</v>
      </c>
      <c r="I10" s="114">
        <v>107607</v>
      </c>
      <c r="J10" s="147">
        <f t="shared" si="3"/>
        <v>8.2895259870519253E-2</v>
      </c>
      <c r="K10" s="114">
        <v>78513</v>
      </c>
      <c r="L10" s="147">
        <f t="shared" si="4"/>
        <v>6.1204158075467432E-2</v>
      </c>
      <c r="M10" s="114">
        <v>57266</v>
      </c>
      <c r="N10" s="147">
        <f t="shared" si="5"/>
        <v>4.8180424609658296E-2</v>
      </c>
      <c r="O10" s="114">
        <v>45900</v>
      </c>
      <c r="P10" s="147">
        <f t="shared" si="6"/>
        <v>4.6252909701018773E-2</v>
      </c>
      <c r="Q10" s="34"/>
      <c r="R10" s="34" t="s">
        <v>16</v>
      </c>
      <c r="S10" s="116">
        <f>'E. Output'!C10</f>
        <v>47277</v>
      </c>
      <c r="T10" s="147">
        <f t="shared" si="7"/>
        <v>3.4334709516819925E-2</v>
      </c>
      <c r="U10" s="116">
        <f>'E. Output'!E10</f>
        <v>48695.31</v>
      </c>
      <c r="V10" s="147">
        <f t="shared" si="8"/>
        <v>3.5505645729704126E-2</v>
      </c>
      <c r="W10" s="116">
        <f>'E. Output'!G10</f>
        <v>50156.169300000001</v>
      </c>
      <c r="X10" s="147">
        <f t="shared" si="9"/>
        <v>3.6132819081112343E-2</v>
      </c>
      <c r="Y10" s="116">
        <f>'E. Output'!I10</f>
        <v>51660.854379000004</v>
      </c>
      <c r="Z10" s="147">
        <f t="shared" si="10"/>
        <v>3.6906596011622626E-2</v>
      </c>
      <c r="AA10" s="116">
        <f>'E. Output'!K10</f>
        <v>53210.680010370008</v>
      </c>
      <c r="AB10" s="115">
        <f t="shared" si="11"/>
        <v>3.7654424909666598E-2</v>
      </c>
      <c r="AC10" s="10">
        <v>0</v>
      </c>
      <c r="AD10" s="15" t="e">
        <f t="shared" si="12"/>
        <v>#DIV/0!</v>
      </c>
      <c r="AE10" s="10">
        <v>0</v>
      </c>
      <c r="AF10" s="15" t="e">
        <f t="shared" si="13"/>
        <v>#DIV/0!</v>
      </c>
      <c r="AG10" s="10">
        <v>0</v>
      </c>
      <c r="AH10" s="15" t="e">
        <f t="shared" si="14"/>
        <v>#DIV/0!</v>
      </c>
      <c r="AI10" s="10">
        <v>0</v>
      </c>
      <c r="AJ10" s="15" t="e">
        <f t="shared" si="15"/>
        <v>#DIV/0!</v>
      </c>
      <c r="AK10" s="10">
        <v>0</v>
      </c>
      <c r="AL10" s="15" t="e">
        <f t="shared" si="16"/>
        <v>#DIV/0!</v>
      </c>
      <c r="AM10" s="10">
        <v>0</v>
      </c>
      <c r="AN10" s="15" t="e">
        <f t="shared" si="17"/>
        <v>#DIV/0!</v>
      </c>
    </row>
    <row r="11" spans="1:40" ht="15" customHeight="1" thickBot="1" x14ac:dyDescent="0.25">
      <c r="A11" s="34"/>
      <c r="B11" s="34" t="s">
        <v>17</v>
      </c>
      <c r="C11" s="207">
        <v>174</v>
      </c>
      <c r="D11" s="147">
        <f t="shared" si="0"/>
        <v>1.4191141628409033E-4</v>
      </c>
      <c r="E11" s="207">
        <v>50337</v>
      </c>
      <c r="F11" s="147">
        <f t="shared" si="1"/>
        <v>4.1951345540007831E-2</v>
      </c>
      <c r="G11" s="114">
        <v>1919</v>
      </c>
      <c r="H11" s="147">
        <f t="shared" si="2"/>
        <v>1.5121321220516772E-3</v>
      </c>
      <c r="I11" s="114">
        <v>38823</v>
      </c>
      <c r="J11" s="147">
        <f t="shared" si="3"/>
        <v>2.9907372884228432E-2</v>
      </c>
      <c r="K11" s="114">
        <v>110000</v>
      </c>
      <c r="L11" s="147">
        <f t="shared" si="4"/>
        <v>8.5749587817322198E-2</v>
      </c>
      <c r="M11" s="114">
        <v>0</v>
      </c>
      <c r="N11" s="147">
        <f t="shared" si="5"/>
        <v>0</v>
      </c>
      <c r="O11" s="114">
        <v>0</v>
      </c>
      <c r="P11" s="147">
        <f t="shared" si="6"/>
        <v>0</v>
      </c>
      <c r="Q11" s="34"/>
      <c r="R11" s="34" t="s">
        <v>17</v>
      </c>
      <c r="S11" s="116">
        <f>'E. Output'!C11</f>
        <v>0</v>
      </c>
      <c r="T11" s="147">
        <f t="shared" si="7"/>
        <v>0</v>
      </c>
      <c r="U11" s="116">
        <f>'E. Output'!E11</f>
        <v>0</v>
      </c>
      <c r="V11" s="147">
        <f t="shared" si="8"/>
        <v>0</v>
      </c>
      <c r="W11" s="116">
        <f>'E. Output'!G11</f>
        <v>0</v>
      </c>
      <c r="X11" s="147">
        <f t="shared" si="9"/>
        <v>0</v>
      </c>
      <c r="Y11" s="116">
        <f>'E. Output'!I11</f>
        <v>0</v>
      </c>
      <c r="Z11" s="147">
        <f t="shared" si="10"/>
        <v>0</v>
      </c>
      <c r="AA11" s="116">
        <f>'E. Output'!K11</f>
        <v>0</v>
      </c>
      <c r="AB11" s="115">
        <f t="shared" si="11"/>
        <v>0</v>
      </c>
      <c r="AC11" s="10">
        <v>0</v>
      </c>
      <c r="AD11" s="15" t="e">
        <f t="shared" si="12"/>
        <v>#DIV/0!</v>
      </c>
      <c r="AE11" s="10">
        <v>0</v>
      </c>
      <c r="AF11" s="15" t="e">
        <f t="shared" si="13"/>
        <v>#DIV/0!</v>
      </c>
      <c r="AG11" s="10">
        <v>0</v>
      </c>
      <c r="AH11" s="15" t="e">
        <f t="shared" si="14"/>
        <v>#DIV/0!</v>
      </c>
      <c r="AI11" s="10">
        <v>0</v>
      </c>
      <c r="AJ11" s="15" t="e">
        <f t="shared" si="15"/>
        <v>#DIV/0!</v>
      </c>
      <c r="AK11" s="10">
        <v>0</v>
      </c>
      <c r="AL11" s="15" t="e">
        <f t="shared" si="16"/>
        <v>#DIV/0!</v>
      </c>
      <c r="AM11" s="10">
        <v>0</v>
      </c>
      <c r="AN11" s="15" t="e">
        <f t="shared" si="17"/>
        <v>#DIV/0!</v>
      </c>
    </row>
    <row r="12" spans="1:40" ht="15" customHeight="1" thickBot="1" x14ac:dyDescent="0.25">
      <c r="A12" s="34"/>
      <c r="B12" s="34" t="s">
        <v>14</v>
      </c>
      <c r="C12" s="207">
        <v>87925</v>
      </c>
      <c r="D12" s="147">
        <f t="shared" si="0"/>
        <v>7.1710122280337033E-2</v>
      </c>
      <c r="E12" s="207">
        <v>91632</v>
      </c>
      <c r="F12" s="147">
        <f t="shared" si="1"/>
        <v>7.6367000308361604E-2</v>
      </c>
      <c r="G12" s="114">
        <v>138718</v>
      </c>
      <c r="H12" s="147">
        <f t="shared" si="2"/>
        <v>0.10930690135839738</v>
      </c>
      <c r="I12" s="114">
        <v>127316</v>
      </c>
      <c r="J12" s="147">
        <f t="shared" si="3"/>
        <v>9.8078126011086911E-2</v>
      </c>
      <c r="K12" s="114">
        <v>147854</v>
      </c>
      <c r="L12" s="147">
        <f t="shared" si="4"/>
        <v>0.11525835961038505</v>
      </c>
      <c r="M12" s="114">
        <v>132381</v>
      </c>
      <c r="N12" s="147">
        <f t="shared" si="5"/>
        <v>0.11137800423027931</v>
      </c>
      <c r="O12" s="114">
        <v>183000</v>
      </c>
      <c r="P12" s="147">
        <f t="shared" si="6"/>
        <v>0.18440702560536895</v>
      </c>
      <c r="Q12" s="34"/>
      <c r="R12" s="34" t="s">
        <v>14</v>
      </c>
      <c r="S12" s="116">
        <f>'E. Output'!C12</f>
        <v>183000</v>
      </c>
      <c r="T12" s="147">
        <f t="shared" si="7"/>
        <v>0.13290293042236279</v>
      </c>
      <c r="U12" s="116">
        <f>'E. Output'!E12</f>
        <v>183000</v>
      </c>
      <c r="V12" s="147">
        <f t="shared" si="8"/>
        <v>0.13343242231204311</v>
      </c>
      <c r="W12" s="116">
        <f>'E. Output'!G12</f>
        <v>183000</v>
      </c>
      <c r="X12" s="147">
        <f t="shared" si="9"/>
        <v>0.13183434827913698</v>
      </c>
      <c r="Y12" s="116">
        <f>'E. Output'!I12</f>
        <v>183000</v>
      </c>
      <c r="Z12" s="147">
        <f t="shared" si="10"/>
        <v>0.13073548920771208</v>
      </c>
      <c r="AA12" s="116">
        <f>'E. Output'!K12</f>
        <v>183000</v>
      </c>
      <c r="AB12" s="115">
        <f t="shared" si="11"/>
        <v>0.12949956206397054</v>
      </c>
      <c r="AC12" s="10">
        <v>0</v>
      </c>
      <c r="AD12" s="15" t="e">
        <f t="shared" si="12"/>
        <v>#DIV/0!</v>
      </c>
      <c r="AE12" s="10">
        <v>0</v>
      </c>
      <c r="AF12" s="15" t="e">
        <f t="shared" si="13"/>
        <v>#DIV/0!</v>
      </c>
      <c r="AG12" s="10">
        <v>0</v>
      </c>
      <c r="AH12" s="15" t="e">
        <f t="shared" si="14"/>
        <v>#DIV/0!</v>
      </c>
      <c r="AI12" s="10">
        <v>0</v>
      </c>
      <c r="AJ12" s="15" t="e">
        <f t="shared" si="15"/>
        <v>#DIV/0!</v>
      </c>
      <c r="AK12" s="10">
        <v>0</v>
      </c>
      <c r="AL12" s="15" t="e">
        <f t="shared" si="16"/>
        <v>#DIV/0!</v>
      </c>
      <c r="AM12" s="10">
        <v>0</v>
      </c>
      <c r="AN12" s="15" t="e">
        <f t="shared" si="17"/>
        <v>#DIV/0!</v>
      </c>
    </row>
    <row r="13" spans="1:40" ht="15" customHeight="1" thickBot="1" x14ac:dyDescent="0.25">
      <c r="A13" s="34"/>
      <c r="B13" s="34" t="s">
        <v>18</v>
      </c>
      <c r="C13" s="207">
        <v>0</v>
      </c>
      <c r="D13" s="147">
        <f t="shared" si="0"/>
        <v>0</v>
      </c>
      <c r="E13" s="207">
        <v>1250</v>
      </c>
      <c r="F13" s="147">
        <f t="shared" si="1"/>
        <v>1.0417621615314736E-3</v>
      </c>
      <c r="G13" s="114">
        <v>1336</v>
      </c>
      <c r="H13" s="147">
        <f t="shared" si="2"/>
        <v>1.0527402371344663E-3</v>
      </c>
      <c r="I13" s="114">
        <v>27653</v>
      </c>
      <c r="J13" s="147">
        <f t="shared" si="3"/>
        <v>2.1302541853220225E-2</v>
      </c>
      <c r="K13" s="114">
        <f>7460+2</f>
        <v>7462</v>
      </c>
      <c r="L13" s="147">
        <f t="shared" si="4"/>
        <v>5.8169402208441655E-3</v>
      </c>
      <c r="M13" s="114">
        <v>700</v>
      </c>
      <c r="N13" s="147">
        <f t="shared" si="5"/>
        <v>5.8894103354103318E-4</v>
      </c>
      <c r="O13" s="114">
        <v>76000</v>
      </c>
      <c r="P13" s="147">
        <f t="shared" si="6"/>
        <v>7.6584338502776184E-2</v>
      </c>
      <c r="Q13" s="34"/>
      <c r="R13" s="34" t="s">
        <v>18</v>
      </c>
      <c r="S13" s="117">
        <f>'E. Output'!C13</f>
        <v>76000</v>
      </c>
      <c r="T13" s="147">
        <f t="shared" si="7"/>
        <v>5.5194659628959412E-2</v>
      </c>
      <c r="U13" s="117">
        <f>'E. Output'!E13</f>
        <v>76000</v>
      </c>
      <c r="V13" s="147">
        <f t="shared" si="8"/>
        <v>5.5414557900083476E-2</v>
      </c>
      <c r="W13" s="117">
        <f>'E. Output'!G13</f>
        <v>76000</v>
      </c>
      <c r="X13" s="147">
        <f t="shared" si="9"/>
        <v>5.4750876880953064E-2</v>
      </c>
      <c r="Y13" s="117">
        <f>'E. Output'!I13</f>
        <v>76000</v>
      </c>
      <c r="Z13" s="147">
        <f t="shared" si="10"/>
        <v>5.4294520108120865E-2</v>
      </c>
      <c r="AA13" s="117">
        <f>'E. Output'!K13</f>
        <v>76000</v>
      </c>
      <c r="AB13" s="115">
        <f t="shared" si="11"/>
        <v>5.378123888995498E-2</v>
      </c>
      <c r="AC13" s="10">
        <v>0</v>
      </c>
      <c r="AD13" s="15" t="e">
        <f t="shared" si="12"/>
        <v>#DIV/0!</v>
      </c>
      <c r="AE13" s="10">
        <v>0</v>
      </c>
      <c r="AF13" s="15" t="e">
        <f t="shared" si="13"/>
        <v>#DIV/0!</v>
      </c>
      <c r="AG13" s="10">
        <v>0</v>
      </c>
      <c r="AH13" s="15" t="e">
        <f t="shared" si="14"/>
        <v>#DIV/0!</v>
      </c>
      <c r="AI13" s="10">
        <v>0</v>
      </c>
      <c r="AJ13" s="15" t="e">
        <f t="shared" si="15"/>
        <v>#DIV/0!</v>
      </c>
      <c r="AK13" s="10">
        <v>0</v>
      </c>
      <c r="AL13" s="15" t="e">
        <f t="shared" si="16"/>
        <v>#DIV/0!</v>
      </c>
      <c r="AM13" s="10">
        <v>0</v>
      </c>
      <c r="AN13" s="15" t="e">
        <f t="shared" si="17"/>
        <v>#DIV/0!</v>
      </c>
    </row>
    <row r="14" spans="1:40" ht="15" customHeight="1" x14ac:dyDescent="0.2">
      <c r="A14" s="34"/>
      <c r="B14" s="118" t="s">
        <v>32</v>
      </c>
      <c r="C14" s="132">
        <f>SUM(C8:C13)</f>
        <v>529424</v>
      </c>
      <c r="D14" s="148">
        <f t="shared" si="0"/>
        <v>0.43178913594705887</v>
      </c>
      <c r="E14" s="132">
        <f>SUM(E8:E13)</f>
        <v>551970</v>
      </c>
      <c r="F14" s="148">
        <f t="shared" si="1"/>
        <v>0.46001716824042205</v>
      </c>
      <c r="G14" s="132">
        <f>SUM(G8:G13)</f>
        <v>517796</v>
      </c>
      <c r="H14" s="148">
        <f t="shared" si="2"/>
        <v>0.40801248789466926</v>
      </c>
      <c r="I14" s="132">
        <f>SUM(I8:I13)</f>
        <v>559412</v>
      </c>
      <c r="J14" s="148">
        <f t="shared" si="3"/>
        <v>0.43094411250835835</v>
      </c>
      <c r="K14" s="132">
        <f>SUM(K8:K13)</f>
        <v>559886</v>
      </c>
      <c r="L14" s="148">
        <f t="shared" si="4"/>
        <v>0.43645448840626594</v>
      </c>
      <c r="M14" s="132">
        <f>SUM(M8:M13)</f>
        <v>457520</v>
      </c>
      <c r="N14" s="148">
        <f t="shared" si="5"/>
        <v>0.38493185952241932</v>
      </c>
      <c r="O14" s="132">
        <f>SUM(O8:O13)</f>
        <v>404900</v>
      </c>
      <c r="P14" s="148">
        <f t="shared" si="6"/>
        <v>0.4080131402601852</v>
      </c>
      <c r="Q14" s="34"/>
      <c r="R14" s="118" t="s">
        <v>32</v>
      </c>
      <c r="S14" s="119">
        <f>SUM(S8:S13)</f>
        <v>409277</v>
      </c>
      <c r="T14" s="148">
        <f t="shared" si="7"/>
        <v>0.29723558827581081</v>
      </c>
      <c r="U14" s="119">
        <f>SUM(U8:U13)</f>
        <v>413785.31</v>
      </c>
      <c r="V14" s="148">
        <f t="shared" si="8"/>
        <v>0.30170697393682883</v>
      </c>
      <c r="W14" s="119">
        <f>SUM(W8:W13)</f>
        <v>418428.86930000002</v>
      </c>
      <c r="X14" s="148">
        <f t="shared" si="9"/>
        <v>0.30143878298000926</v>
      </c>
      <c r="Y14" s="119">
        <f>SUM(Y8:Y13)</f>
        <v>423211.73537899996</v>
      </c>
      <c r="Z14" s="148">
        <f t="shared" si="10"/>
        <v>0.30234313258589263</v>
      </c>
      <c r="AA14" s="119">
        <f>SUM(AA8:AA13)</f>
        <v>428138.08744037</v>
      </c>
      <c r="AB14" s="120">
        <f t="shared" si="11"/>
        <v>0.3029710099805128</v>
      </c>
      <c r="AC14" s="8">
        <f>SUM(AC8:AC13)</f>
        <v>0</v>
      </c>
      <c r="AD14" s="16" t="e">
        <f t="shared" si="12"/>
        <v>#DIV/0!</v>
      </c>
      <c r="AE14" s="8">
        <f>SUM(AE8:AE13)</f>
        <v>0</v>
      </c>
      <c r="AF14" s="16" t="e">
        <f t="shared" si="13"/>
        <v>#DIV/0!</v>
      </c>
      <c r="AG14" s="8">
        <f>SUM(AG8:AG13)</f>
        <v>0</v>
      </c>
      <c r="AH14" s="16" t="e">
        <f t="shared" si="14"/>
        <v>#DIV/0!</v>
      </c>
      <c r="AI14" s="8">
        <f>SUM(AI8:AI13)</f>
        <v>0</v>
      </c>
      <c r="AJ14" s="16" t="e">
        <f t="shared" si="15"/>
        <v>#DIV/0!</v>
      </c>
      <c r="AK14" s="8">
        <f>SUM(AK8:AK13)</f>
        <v>0</v>
      </c>
      <c r="AL14" s="16" t="e">
        <f t="shared" si="16"/>
        <v>#DIV/0!</v>
      </c>
      <c r="AM14" s="8">
        <f>SUM(AM8:AM13)</f>
        <v>0</v>
      </c>
      <c r="AN14" s="16" t="e">
        <f t="shared" si="17"/>
        <v>#DIV/0!</v>
      </c>
    </row>
    <row r="15" spans="1:40" ht="15" customHeight="1" thickBot="1" x14ac:dyDescent="0.25">
      <c r="A15" s="34"/>
      <c r="B15" s="34" t="s">
        <v>19</v>
      </c>
      <c r="C15" s="207">
        <v>58201</v>
      </c>
      <c r="D15" s="147">
        <f t="shared" si="0"/>
        <v>4.7467737581323804E-2</v>
      </c>
      <c r="E15" s="207">
        <v>33527</v>
      </c>
      <c r="F15" s="147">
        <f t="shared" si="1"/>
        <v>2.7941727991732574E-2</v>
      </c>
      <c r="G15" s="114">
        <v>21404</v>
      </c>
      <c r="H15" s="147">
        <f t="shared" si="2"/>
        <v>1.6865907212294997E-2</v>
      </c>
      <c r="I15" s="114">
        <v>18243</v>
      </c>
      <c r="J15" s="147">
        <f t="shared" si="3"/>
        <v>1.4053530214743303E-2</v>
      </c>
      <c r="K15" s="114">
        <v>21971</v>
      </c>
      <c r="L15" s="147">
        <f t="shared" si="4"/>
        <v>1.7127310853948963E-2</v>
      </c>
      <c r="M15" s="114">
        <v>13944</v>
      </c>
      <c r="N15" s="147">
        <f t="shared" si="5"/>
        <v>1.1731705388137382E-2</v>
      </c>
      <c r="O15" s="114">
        <v>12000</v>
      </c>
      <c r="P15" s="147">
        <f t="shared" si="6"/>
        <v>1.2092263974122556E-2</v>
      </c>
      <c r="Q15" s="34"/>
      <c r="R15" s="34" t="s">
        <v>19</v>
      </c>
      <c r="S15" s="116">
        <f>'E. Output'!C15</f>
        <v>12000</v>
      </c>
      <c r="T15" s="147">
        <f t="shared" si="7"/>
        <v>8.7149462572041186E-3</v>
      </c>
      <c r="U15" s="116">
        <f>'E. Output'!E15</f>
        <v>12000</v>
      </c>
      <c r="V15" s="147">
        <f t="shared" si="8"/>
        <v>8.7496670368552854E-3</v>
      </c>
      <c r="W15" s="116">
        <f>'E. Output'!G15</f>
        <v>12000</v>
      </c>
      <c r="X15" s="147">
        <f t="shared" si="9"/>
        <v>8.6448752969925883E-3</v>
      </c>
      <c r="Y15" s="116">
        <f>'E. Output'!I15</f>
        <v>12000</v>
      </c>
      <c r="Z15" s="147">
        <f t="shared" si="10"/>
        <v>8.5728189644401365E-3</v>
      </c>
      <c r="AA15" s="116">
        <f>'E. Output'!K15</f>
        <v>12000</v>
      </c>
      <c r="AB15" s="115">
        <f t="shared" si="11"/>
        <v>8.4917745615718382E-3</v>
      </c>
      <c r="AC15" s="10">
        <v>0</v>
      </c>
      <c r="AD15" s="15" t="e">
        <f t="shared" si="12"/>
        <v>#DIV/0!</v>
      </c>
      <c r="AE15" s="10">
        <v>0</v>
      </c>
      <c r="AF15" s="15" t="e">
        <f t="shared" si="13"/>
        <v>#DIV/0!</v>
      </c>
      <c r="AG15" s="10">
        <v>0</v>
      </c>
      <c r="AH15" s="15" t="e">
        <f t="shared" si="14"/>
        <v>#DIV/0!</v>
      </c>
      <c r="AI15" s="10">
        <v>0</v>
      </c>
      <c r="AJ15" s="15" t="e">
        <f t="shared" si="15"/>
        <v>#DIV/0!</v>
      </c>
      <c r="AK15" s="10">
        <v>0</v>
      </c>
      <c r="AL15" s="15" t="e">
        <f t="shared" si="16"/>
        <v>#DIV/0!</v>
      </c>
      <c r="AM15" s="10">
        <v>0</v>
      </c>
      <c r="AN15" s="15" t="e">
        <f t="shared" si="17"/>
        <v>#DIV/0!</v>
      </c>
    </row>
    <row r="16" spans="1:40" ht="15" customHeight="1" x14ac:dyDescent="0.2">
      <c r="A16" s="34"/>
      <c r="B16" s="34" t="s">
        <v>27</v>
      </c>
      <c r="C16" s="208">
        <v>33680</v>
      </c>
      <c r="D16" s="147">
        <f t="shared" si="0"/>
        <v>2.7468830462345762E-2</v>
      </c>
      <c r="E16" s="208">
        <v>28887</v>
      </c>
      <c r="F16" s="147">
        <f t="shared" si="1"/>
        <v>2.4074706848127746E-2</v>
      </c>
      <c r="G16" s="121">
        <v>25463</v>
      </c>
      <c r="H16" s="147">
        <f t="shared" si="2"/>
        <v>2.0064314863888408E-2</v>
      </c>
      <c r="I16" s="121">
        <v>24191</v>
      </c>
      <c r="J16" s="147">
        <f t="shared" si="3"/>
        <v>1.8635583479956985E-2</v>
      </c>
      <c r="K16" s="121">
        <v>22640</v>
      </c>
      <c r="L16" s="147">
        <f t="shared" si="4"/>
        <v>1.7648824256219768E-2</v>
      </c>
      <c r="M16" s="121">
        <v>19616</v>
      </c>
      <c r="N16" s="147">
        <f t="shared" si="5"/>
        <v>1.6503810448487012E-2</v>
      </c>
      <c r="O16" s="121">
        <v>20400</v>
      </c>
      <c r="P16" s="147">
        <f t="shared" si="6"/>
        <v>2.0556848756008345E-2</v>
      </c>
      <c r="Q16" s="34"/>
      <c r="R16" s="34" t="s">
        <v>27</v>
      </c>
      <c r="S16" s="117">
        <f>'E. Output'!C16</f>
        <v>20400</v>
      </c>
      <c r="T16" s="147">
        <f t="shared" si="7"/>
        <v>1.4815408637247E-2</v>
      </c>
      <c r="U16" s="117">
        <f>'E. Output'!E16</f>
        <v>20400</v>
      </c>
      <c r="V16" s="147">
        <f t="shared" si="8"/>
        <v>1.4874433962653985E-2</v>
      </c>
      <c r="W16" s="117">
        <f>'E. Output'!G16</f>
        <v>20400</v>
      </c>
      <c r="X16" s="147">
        <f t="shared" si="9"/>
        <v>1.4696288004887401E-2</v>
      </c>
      <c r="Y16" s="117">
        <f>'E. Output'!I16</f>
        <v>20400</v>
      </c>
      <c r="Z16" s="147">
        <f t="shared" si="10"/>
        <v>1.4573792239548232E-2</v>
      </c>
      <c r="AA16" s="117">
        <f>'E. Output'!K16</f>
        <v>20400</v>
      </c>
      <c r="AB16" s="115">
        <f t="shared" si="11"/>
        <v>1.4436016754672126E-2</v>
      </c>
      <c r="AC16" s="11">
        <v>0</v>
      </c>
      <c r="AD16" s="15" t="e">
        <f t="shared" si="12"/>
        <v>#DIV/0!</v>
      </c>
      <c r="AE16" s="11">
        <v>0</v>
      </c>
      <c r="AF16" s="15" t="e">
        <f t="shared" si="13"/>
        <v>#DIV/0!</v>
      </c>
      <c r="AG16" s="11">
        <v>0</v>
      </c>
      <c r="AH16" s="15" t="e">
        <f t="shared" si="14"/>
        <v>#DIV/0!</v>
      </c>
      <c r="AI16" s="11">
        <v>0</v>
      </c>
      <c r="AJ16" s="15" t="e">
        <f t="shared" si="15"/>
        <v>#DIV/0!</v>
      </c>
      <c r="AK16" s="11">
        <v>0</v>
      </c>
      <c r="AL16" s="15" t="e">
        <f t="shared" si="16"/>
        <v>#DIV/0!</v>
      </c>
      <c r="AM16" s="11">
        <v>0</v>
      </c>
      <c r="AN16" s="15" t="e">
        <f t="shared" si="17"/>
        <v>#DIV/0!</v>
      </c>
    </row>
    <row r="17" spans="1:44" s="7" customFormat="1" ht="15" customHeight="1" x14ac:dyDescent="0.2">
      <c r="A17" s="35"/>
      <c r="B17" s="118" t="s">
        <v>33</v>
      </c>
      <c r="C17" s="132">
        <f>SUM(C15:C16)</f>
        <v>91881</v>
      </c>
      <c r="D17" s="148">
        <f t="shared" si="0"/>
        <v>7.4936568043669563E-2</v>
      </c>
      <c r="E17" s="132">
        <f>SUM(E15:E16)</f>
        <v>62414</v>
      </c>
      <c r="F17" s="148">
        <f t="shared" si="1"/>
        <v>5.201643483986032E-2</v>
      </c>
      <c r="G17" s="132">
        <f>SUM(G15:G16)</f>
        <v>46867</v>
      </c>
      <c r="H17" s="148">
        <f t="shared" si="2"/>
        <v>3.6930222076183405E-2</v>
      </c>
      <c r="I17" s="132">
        <f>SUM(I15:I16)</f>
        <v>42434</v>
      </c>
      <c r="J17" s="148">
        <f t="shared" si="3"/>
        <v>3.2689113694700289E-2</v>
      </c>
      <c r="K17" s="132">
        <f>SUM(K15:K16)</f>
        <v>44611</v>
      </c>
      <c r="L17" s="148">
        <f t="shared" si="4"/>
        <v>3.4776135110168735E-2</v>
      </c>
      <c r="M17" s="132">
        <f>SUM(M15:M16)</f>
        <v>33560</v>
      </c>
      <c r="N17" s="148">
        <f t="shared" si="5"/>
        <v>2.8235515836624391E-2</v>
      </c>
      <c r="O17" s="132">
        <f>SUM(O15:O16)</f>
        <v>32400</v>
      </c>
      <c r="P17" s="148">
        <f t="shared" si="6"/>
        <v>3.2649112730130901E-2</v>
      </c>
      <c r="Q17" s="35"/>
      <c r="R17" s="118" t="s">
        <v>33</v>
      </c>
      <c r="S17" s="119">
        <f>SUM(S15:S16)</f>
        <v>32400</v>
      </c>
      <c r="T17" s="148">
        <f t="shared" si="7"/>
        <v>2.3530354894451117E-2</v>
      </c>
      <c r="U17" s="119">
        <f>SUM(U15:U16)</f>
        <v>32400</v>
      </c>
      <c r="V17" s="148">
        <f t="shared" si="8"/>
        <v>2.3624100999509269E-2</v>
      </c>
      <c r="W17" s="119">
        <f>SUM(W15:W16)</f>
        <v>32400</v>
      </c>
      <c r="X17" s="148">
        <f t="shared" si="9"/>
        <v>2.3341163301879991E-2</v>
      </c>
      <c r="Y17" s="119">
        <f>SUM(Y15:Y16)</f>
        <v>32400</v>
      </c>
      <c r="Z17" s="148">
        <f t="shared" si="10"/>
        <v>2.3146611203988369E-2</v>
      </c>
      <c r="AA17" s="119">
        <f>SUM(AA15:AA16)</f>
        <v>32400</v>
      </c>
      <c r="AB17" s="120">
        <f t="shared" si="11"/>
        <v>2.2927791316243964E-2</v>
      </c>
      <c r="AC17" s="8">
        <f>SUM(AC15:AC16)</f>
        <v>0</v>
      </c>
      <c r="AD17" s="16" t="e">
        <f t="shared" si="12"/>
        <v>#DIV/0!</v>
      </c>
      <c r="AE17" s="8">
        <f>SUM(AE15:AE16)</f>
        <v>0</v>
      </c>
      <c r="AF17" s="16" t="e">
        <f t="shared" si="13"/>
        <v>#DIV/0!</v>
      </c>
      <c r="AG17" s="8">
        <f>SUM(AG15:AG16)</f>
        <v>0</v>
      </c>
      <c r="AH17" s="16" t="e">
        <f t="shared" si="14"/>
        <v>#DIV/0!</v>
      </c>
      <c r="AI17" s="8">
        <f>SUM(AI15:AI16)</f>
        <v>0</v>
      </c>
      <c r="AJ17" s="16" t="e">
        <f t="shared" si="15"/>
        <v>#DIV/0!</v>
      </c>
      <c r="AK17" s="8">
        <f>SUM(AK15:AK16)</f>
        <v>0</v>
      </c>
      <c r="AL17" s="16" t="e">
        <f t="shared" si="16"/>
        <v>#DIV/0!</v>
      </c>
      <c r="AM17" s="8">
        <f>SUM(AM15:AM16)</f>
        <v>0</v>
      </c>
      <c r="AN17" s="16" t="e">
        <f t="shared" si="17"/>
        <v>#DIV/0!</v>
      </c>
    </row>
    <row r="18" spans="1:44" ht="15" customHeight="1" thickBot="1" x14ac:dyDescent="0.25">
      <c r="A18" s="34"/>
      <c r="B18" s="34" t="s">
        <v>20</v>
      </c>
      <c r="C18" s="207">
        <v>9440</v>
      </c>
      <c r="D18" s="147">
        <f t="shared" si="0"/>
        <v>7.6991021248380047E-3</v>
      </c>
      <c r="E18" s="207">
        <v>10332</v>
      </c>
      <c r="F18" s="147">
        <f t="shared" si="1"/>
        <v>8.6107893223545499E-3</v>
      </c>
      <c r="G18" s="114">
        <v>7382</v>
      </c>
      <c r="H18" s="147">
        <f t="shared" si="2"/>
        <v>5.8168625976995738E-3</v>
      </c>
      <c r="I18" s="114">
        <v>6843</v>
      </c>
      <c r="J18" s="147">
        <f t="shared" si="3"/>
        <v>5.271518240392941E-3</v>
      </c>
      <c r="K18" s="114">
        <v>10578</v>
      </c>
      <c r="L18" s="147">
        <f t="shared" si="4"/>
        <v>8.2459921811966746E-3</v>
      </c>
      <c r="M18" s="114">
        <v>1652</v>
      </c>
      <c r="N18" s="147">
        <f t="shared" si="5"/>
        <v>1.3899008391568383E-3</v>
      </c>
      <c r="O18" s="114">
        <v>4320</v>
      </c>
      <c r="P18" s="147">
        <f t="shared" si="6"/>
        <v>4.3532150306841199E-3</v>
      </c>
      <c r="Q18" s="34"/>
      <c r="R18" s="34" t="s">
        <v>20</v>
      </c>
      <c r="S18" s="116">
        <f>'E. Output'!C18</f>
        <v>4320</v>
      </c>
      <c r="T18" s="147">
        <f t="shared" si="7"/>
        <v>3.1373806525934822E-3</v>
      </c>
      <c r="U18" s="116">
        <f>'E. Output'!E18</f>
        <v>4320</v>
      </c>
      <c r="V18" s="147">
        <f t="shared" si="8"/>
        <v>3.1498801332679027E-3</v>
      </c>
      <c r="W18" s="116">
        <f>'E. Output'!G18</f>
        <v>4320</v>
      </c>
      <c r="X18" s="147">
        <f t="shared" si="9"/>
        <v>3.1121551069173319E-3</v>
      </c>
      <c r="Y18" s="116">
        <f>'E. Output'!I18</f>
        <v>4320</v>
      </c>
      <c r="Z18" s="147">
        <f t="shared" si="10"/>
        <v>3.0862148271984489E-3</v>
      </c>
      <c r="AA18" s="116">
        <f>'E. Output'!K18</f>
        <v>4320</v>
      </c>
      <c r="AB18" s="115">
        <f t="shared" si="11"/>
        <v>3.057038842165862E-3</v>
      </c>
      <c r="AC18" s="10">
        <v>0</v>
      </c>
      <c r="AD18" s="15" t="e">
        <f t="shared" si="12"/>
        <v>#DIV/0!</v>
      </c>
      <c r="AE18" s="10">
        <v>0</v>
      </c>
      <c r="AF18" s="15" t="e">
        <f t="shared" si="13"/>
        <v>#DIV/0!</v>
      </c>
      <c r="AG18" s="10">
        <v>0</v>
      </c>
      <c r="AH18" s="15" t="e">
        <f t="shared" si="14"/>
        <v>#DIV/0!</v>
      </c>
      <c r="AI18" s="10">
        <v>0</v>
      </c>
      <c r="AJ18" s="15" t="e">
        <f t="shared" si="15"/>
        <v>#DIV/0!</v>
      </c>
      <c r="AK18" s="10">
        <v>0</v>
      </c>
      <c r="AL18" s="15" t="e">
        <f t="shared" si="16"/>
        <v>#DIV/0!</v>
      </c>
      <c r="AM18" s="10">
        <v>0</v>
      </c>
      <c r="AN18" s="15" t="e">
        <f t="shared" si="17"/>
        <v>#DIV/0!</v>
      </c>
    </row>
    <row r="19" spans="1:44" ht="15" customHeight="1" thickBot="1" x14ac:dyDescent="0.25">
      <c r="A19" s="34"/>
      <c r="B19" s="34" t="s">
        <v>21</v>
      </c>
      <c r="C19" s="209">
        <v>139184</v>
      </c>
      <c r="D19" s="147">
        <f t="shared" si="0"/>
        <v>0.11351608370163696</v>
      </c>
      <c r="E19" s="209">
        <v>152679</v>
      </c>
      <c r="F19" s="147">
        <f t="shared" si="1"/>
        <v>0.12724416404837111</v>
      </c>
      <c r="G19" s="122">
        <v>185981</v>
      </c>
      <c r="H19" s="147">
        <f t="shared" si="2"/>
        <v>0.14654916320546796</v>
      </c>
      <c r="I19" s="122">
        <v>210885</v>
      </c>
      <c r="J19" s="147">
        <f t="shared" si="3"/>
        <v>0.16245566624656807</v>
      </c>
      <c r="K19" s="122">
        <v>237621</v>
      </c>
      <c r="L19" s="147">
        <f t="shared" si="4"/>
        <v>0.18523548006127197</v>
      </c>
      <c r="M19" s="122">
        <v>251510</v>
      </c>
      <c r="N19" s="147">
        <f t="shared" si="5"/>
        <v>0.21160651335129324</v>
      </c>
      <c r="O19" s="122">
        <v>215500</v>
      </c>
      <c r="P19" s="147">
        <f t="shared" si="6"/>
        <v>0.21715690720195088</v>
      </c>
      <c r="Q19" s="34"/>
      <c r="R19" s="34" t="s">
        <v>21</v>
      </c>
      <c r="S19" s="116">
        <f>'E. Output'!C19</f>
        <v>215500</v>
      </c>
      <c r="T19" s="147">
        <f t="shared" si="7"/>
        <v>0.15650590986895729</v>
      </c>
      <c r="U19" s="116">
        <f>'E. Output'!E19</f>
        <v>215500</v>
      </c>
      <c r="V19" s="147">
        <f t="shared" si="8"/>
        <v>0.15712943720352615</v>
      </c>
      <c r="W19" s="116">
        <f>'E. Output'!G19</f>
        <v>215500</v>
      </c>
      <c r="X19" s="147">
        <f t="shared" si="9"/>
        <v>0.1552475522084919</v>
      </c>
      <c r="Y19" s="116">
        <f>'E. Output'!I19</f>
        <v>215500</v>
      </c>
      <c r="Z19" s="147">
        <f t="shared" si="10"/>
        <v>0.15395354056973745</v>
      </c>
      <c r="AA19" s="116">
        <f>'E. Output'!K19</f>
        <v>215500</v>
      </c>
      <c r="AB19" s="115">
        <f t="shared" si="11"/>
        <v>0.15249811816822761</v>
      </c>
      <c r="AC19" s="12">
        <v>0</v>
      </c>
      <c r="AD19" s="15" t="e">
        <f t="shared" si="12"/>
        <v>#DIV/0!</v>
      </c>
      <c r="AE19" s="12">
        <v>0</v>
      </c>
      <c r="AF19" s="15" t="e">
        <f t="shared" si="13"/>
        <v>#DIV/0!</v>
      </c>
      <c r="AG19" s="12">
        <v>0</v>
      </c>
      <c r="AH19" s="15" t="e">
        <f t="shared" si="14"/>
        <v>#DIV/0!</v>
      </c>
      <c r="AI19" s="12">
        <v>0</v>
      </c>
      <c r="AJ19" s="15" t="e">
        <f t="shared" si="15"/>
        <v>#DIV/0!</v>
      </c>
      <c r="AK19" s="12">
        <v>0</v>
      </c>
      <c r="AL19" s="15" t="e">
        <f t="shared" si="16"/>
        <v>#DIV/0!</v>
      </c>
      <c r="AM19" s="12">
        <v>0</v>
      </c>
      <c r="AN19" s="15" t="e">
        <f t="shared" si="17"/>
        <v>#DIV/0!</v>
      </c>
    </row>
    <row r="20" spans="1:44" ht="15" customHeight="1" thickBot="1" x14ac:dyDescent="0.25">
      <c r="A20" s="34"/>
      <c r="B20" s="34" t="s">
        <v>47</v>
      </c>
      <c r="C20" s="209">
        <f>62946-72</f>
        <v>62874</v>
      </c>
      <c r="D20" s="147">
        <f t="shared" si="0"/>
        <v>5.1278956249689062E-2</v>
      </c>
      <c r="E20" s="209">
        <v>103008</v>
      </c>
      <c r="F20" s="147">
        <f t="shared" si="1"/>
        <v>8.5847869388027243E-2</v>
      </c>
      <c r="G20" s="122">
        <f>77010</f>
        <v>77010</v>
      </c>
      <c r="H20" s="147">
        <f t="shared" si="2"/>
        <v>6.0682279686920096E-2</v>
      </c>
      <c r="I20" s="122">
        <v>80782</v>
      </c>
      <c r="J20" s="147">
        <f t="shared" si="3"/>
        <v>6.2230569413330786E-2</v>
      </c>
      <c r="K20" s="122">
        <v>74454</v>
      </c>
      <c r="L20" s="147">
        <f t="shared" si="4"/>
        <v>5.8039998285008242E-2</v>
      </c>
      <c r="M20" s="122">
        <v>120178</v>
      </c>
      <c r="N20" s="147">
        <f t="shared" si="5"/>
        <v>0.10111107932699184</v>
      </c>
      <c r="O20" s="122">
        <v>114805</v>
      </c>
      <c r="P20" s="147">
        <f t="shared" si="6"/>
        <v>0.11568769712909499</v>
      </c>
      <c r="Q20" s="34"/>
      <c r="R20" s="34" t="s">
        <v>47</v>
      </c>
      <c r="S20" s="116">
        <f>'E. Output'!C20</f>
        <v>491696.13290174998</v>
      </c>
      <c r="T20" s="147">
        <f t="shared" si="7"/>
        <v>0.35709211442615368</v>
      </c>
      <c r="U20" s="116">
        <f>'E. Output'!E20</f>
        <v>478367.50016606995</v>
      </c>
      <c r="V20" s="147">
        <f t="shared" si="8"/>
        <v>0.34879636230882727</v>
      </c>
      <c r="W20" s="116">
        <f>'E. Output'!G20</f>
        <v>486942.18317918648</v>
      </c>
      <c r="X20" s="147">
        <f t="shared" si="9"/>
        <v>0.35079620420244911</v>
      </c>
      <c r="Y20" s="116">
        <f>'E. Output'!I20</f>
        <v>490368.91601033654</v>
      </c>
      <c r="Z20" s="147">
        <f t="shared" si="10"/>
        <v>0.35032032856211381</v>
      </c>
      <c r="AA20" s="116">
        <f>'E. Output'!K20</f>
        <v>495504.02740057121</v>
      </c>
      <c r="AB20" s="115">
        <f t="shared" si="11"/>
        <v>0.35064237458638048</v>
      </c>
      <c r="AC20" s="12">
        <v>0</v>
      </c>
      <c r="AD20" s="15" t="e">
        <f t="shared" si="12"/>
        <v>#DIV/0!</v>
      </c>
      <c r="AE20" s="12">
        <v>0</v>
      </c>
      <c r="AF20" s="15" t="e">
        <f t="shared" si="13"/>
        <v>#DIV/0!</v>
      </c>
      <c r="AG20" s="12">
        <v>0</v>
      </c>
      <c r="AH20" s="15" t="e">
        <f t="shared" si="14"/>
        <v>#DIV/0!</v>
      </c>
      <c r="AI20" s="12">
        <v>0</v>
      </c>
      <c r="AJ20" s="15" t="e">
        <f t="shared" si="15"/>
        <v>#DIV/0!</v>
      </c>
      <c r="AK20" s="12">
        <v>0</v>
      </c>
      <c r="AL20" s="15" t="e">
        <f t="shared" si="16"/>
        <v>#DIV/0!</v>
      </c>
      <c r="AM20" s="12">
        <v>0</v>
      </c>
      <c r="AN20" s="15" t="e">
        <f t="shared" si="17"/>
        <v>#DIV/0!</v>
      </c>
    </row>
    <row r="21" spans="1:44" ht="15" customHeight="1" thickBot="1" x14ac:dyDescent="0.25">
      <c r="A21" s="34"/>
      <c r="B21" s="34" t="s">
        <v>54</v>
      </c>
      <c r="C21" s="209">
        <v>0</v>
      </c>
      <c r="D21" s="147">
        <f t="shared" si="0"/>
        <v>0</v>
      </c>
      <c r="E21" s="209">
        <v>0</v>
      </c>
      <c r="F21" s="147">
        <f t="shared" si="1"/>
        <v>0</v>
      </c>
      <c r="G21" s="122">
        <v>-545</v>
      </c>
      <c r="H21" s="147">
        <f t="shared" si="2"/>
        <v>-4.2944867457955397E-4</v>
      </c>
      <c r="I21" s="122">
        <v>776</v>
      </c>
      <c r="J21" s="147">
        <f t="shared" si="3"/>
        <v>5.9779309579788427E-4</v>
      </c>
      <c r="K21" s="122">
        <v>1666</v>
      </c>
      <c r="L21" s="147">
        <f t="shared" si="4"/>
        <v>1.2987164845787162E-3</v>
      </c>
      <c r="M21" s="122">
        <f>48-1682</f>
        <v>-1634</v>
      </c>
      <c r="N21" s="147">
        <f t="shared" si="5"/>
        <v>-1.3747566411514975E-3</v>
      </c>
      <c r="O21" s="122"/>
      <c r="P21" s="147">
        <f t="shared" si="6"/>
        <v>0</v>
      </c>
      <c r="Q21" s="34"/>
      <c r="R21" s="34" t="s">
        <v>54</v>
      </c>
      <c r="S21" s="116">
        <f>'E. Output'!C21</f>
        <v>0</v>
      </c>
      <c r="T21" s="147">
        <f t="shared" si="7"/>
        <v>0</v>
      </c>
      <c r="U21" s="116">
        <f>'E. Output'!E21</f>
        <v>0</v>
      </c>
      <c r="V21" s="147">
        <f t="shared" si="8"/>
        <v>0</v>
      </c>
      <c r="W21" s="116">
        <f>'E. Output'!G21</f>
        <v>0</v>
      </c>
      <c r="X21" s="147">
        <f t="shared" si="9"/>
        <v>0</v>
      </c>
      <c r="Y21" s="116">
        <f>'E. Output'!I21</f>
        <v>0</v>
      </c>
      <c r="Z21" s="147">
        <f t="shared" si="10"/>
        <v>0</v>
      </c>
      <c r="AA21" s="116">
        <f>'E. Output'!K21</f>
        <v>0</v>
      </c>
      <c r="AB21" s="115">
        <f t="shared" si="11"/>
        <v>0</v>
      </c>
      <c r="AC21" s="12"/>
      <c r="AD21" s="15" t="e">
        <f t="shared" si="12"/>
        <v>#DIV/0!</v>
      </c>
      <c r="AE21" s="12">
        <v>0</v>
      </c>
      <c r="AF21" s="15" t="e">
        <f t="shared" si="13"/>
        <v>#DIV/0!</v>
      </c>
      <c r="AG21" s="12">
        <v>0</v>
      </c>
      <c r="AH21" s="15" t="e">
        <f t="shared" si="14"/>
        <v>#DIV/0!</v>
      </c>
      <c r="AI21" s="12">
        <v>0</v>
      </c>
      <c r="AJ21" s="15" t="e">
        <f t="shared" si="15"/>
        <v>#DIV/0!</v>
      </c>
      <c r="AK21" s="12">
        <v>0</v>
      </c>
      <c r="AL21" s="15" t="e">
        <f t="shared" si="16"/>
        <v>#DIV/0!</v>
      </c>
      <c r="AM21" s="12">
        <v>0</v>
      </c>
      <c r="AN21" s="15" t="e">
        <f t="shared" si="17"/>
        <v>#DIV/0!</v>
      </c>
    </row>
    <row r="22" spans="1:44" ht="15" customHeight="1" thickBot="1" x14ac:dyDescent="0.25">
      <c r="A22" s="34"/>
      <c r="B22" s="34" t="s">
        <v>22</v>
      </c>
      <c r="C22" s="209">
        <v>323022</v>
      </c>
      <c r="D22" s="147">
        <f t="shared" si="0"/>
        <v>0.26345120408574385</v>
      </c>
      <c r="E22" s="209">
        <v>255241</v>
      </c>
      <c r="F22" s="147">
        <f t="shared" si="1"/>
        <v>0.21272033269716389</v>
      </c>
      <c r="G22" s="122">
        <v>360676</v>
      </c>
      <c r="H22" s="147">
        <f t="shared" si="2"/>
        <v>0.28420519294065177</v>
      </c>
      <c r="I22" s="122">
        <v>312113</v>
      </c>
      <c r="J22" s="147">
        <f t="shared" si="3"/>
        <v>0.24043685117108901</v>
      </c>
      <c r="K22" s="122">
        <v>288655</v>
      </c>
      <c r="L22" s="147">
        <f t="shared" si="4"/>
        <v>0.22501861155826489</v>
      </c>
      <c r="M22" s="122">
        <v>236957</v>
      </c>
      <c r="N22" s="147">
        <f t="shared" si="5"/>
        <v>0.19936242926397515</v>
      </c>
      <c r="O22" s="122">
        <v>26535</v>
      </c>
      <c r="P22" s="147">
        <f t="shared" si="6"/>
        <v>2.6739018712778499E-2</v>
      </c>
      <c r="Q22" s="34"/>
      <c r="R22" s="34" t="s">
        <v>22</v>
      </c>
      <c r="S22" s="116">
        <f>'E. Output'!C22</f>
        <v>26933.024999999998</v>
      </c>
      <c r="T22" s="147">
        <f t="shared" si="7"/>
        <v>1.9559988784911244E-2</v>
      </c>
      <c r="U22" s="116">
        <f>'E. Output'!E22</f>
        <v>27337.020374999996</v>
      </c>
      <c r="V22" s="147">
        <f t="shared" si="8"/>
        <v>1.9932485505081563E-2</v>
      </c>
      <c r="W22" s="116">
        <f>'E. Output'!G22</f>
        <v>27747.075680624992</v>
      </c>
      <c r="X22" s="147">
        <f t="shared" si="9"/>
        <v>1.9989167426268235E-2</v>
      </c>
      <c r="Y22" s="116">
        <f>'E. Output'!I22</f>
        <v>28163.281815834365</v>
      </c>
      <c r="Z22" s="147">
        <f t="shared" si="10"/>
        <v>2.0119893037638073E-2</v>
      </c>
      <c r="AA22" s="116">
        <f>'E. Output'!K22</f>
        <v>28585.731043071879</v>
      </c>
      <c r="AB22" s="115">
        <f t="shared" si="11"/>
        <v>2.022863197462435E-2</v>
      </c>
      <c r="AC22" s="12">
        <v>0</v>
      </c>
      <c r="AD22" s="15" t="e">
        <f t="shared" si="12"/>
        <v>#DIV/0!</v>
      </c>
      <c r="AE22" s="12">
        <v>0</v>
      </c>
      <c r="AF22" s="15" t="e">
        <f t="shared" si="13"/>
        <v>#DIV/0!</v>
      </c>
      <c r="AG22" s="12">
        <v>0</v>
      </c>
      <c r="AH22" s="15" t="e">
        <f t="shared" si="14"/>
        <v>#DIV/0!</v>
      </c>
      <c r="AI22" s="12">
        <v>0</v>
      </c>
      <c r="AJ22" s="15" t="e">
        <f t="shared" si="15"/>
        <v>#DIV/0!</v>
      </c>
      <c r="AK22" s="12">
        <v>0</v>
      </c>
      <c r="AL22" s="15" t="e">
        <f t="shared" si="16"/>
        <v>#DIV/0!</v>
      </c>
      <c r="AM22" s="12">
        <v>0</v>
      </c>
      <c r="AN22" s="15" t="e">
        <f t="shared" si="17"/>
        <v>#DIV/0!</v>
      </c>
    </row>
    <row r="23" spans="1:44" ht="15" customHeight="1" thickBot="1" x14ac:dyDescent="0.25">
      <c r="A23" s="34"/>
      <c r="B23" s="34" t="s">
        <v>23</v>
      </c>
      <c r="C23" s="209">
        <v>162458</v>
      </c>
      <c r="D23" s="147">
        <f t="shared" si="0"/>
        <v>0.13249795900391234</v>
      </c>
      <c r="E23" s="209">
        <v>52715</v>
      </c>
      <c r="F23" s="147">
        <f t="shared" si="1"/>
        <v>4.3933193876105309E-2</v>
      </c>
      <c r="G23" s="122">
        <v>54384</v>
      </c>
      <c r="H23" s="147">
        <f t="shared" si="2"/>
        <v>4.2853461868503605E-2</v>
      </c>
      <c r="I23" s="122">
        <v>66404</v>
      </c>
      <c r="J23" s="147">
        <f t="shared" si="3"/>
        <v>5.1154449398663288E-2</v>
      </c>
      <c r="K23" s="122">
        <v>106711</v>
      </c>
      <c r="L23" s="147">
        <f t="shared" si="4"/>
        <v>8.3185675141584259E-2</v>
      </c>
      <c r="M23" s="122">
        <v>64086</v>
      </c>
      <c r="N23" s="147">
        <f t="shared" si="5"/>
        <v>5.3918392965015223E-2</v>
      </c>
      <c r="O23" s="122">
        <v>39310</v>
      </c>
      <c r="P23" s="147">
        <f t="shared" si="6"/>
        <v>3.9612241401896467E-2</v>
      </c>
      <c r="Q23" s="34"/>
      <c r="R23" s="34" t="s">
        <v>23</v>
      </c>
      <c r="S23" s="116">
        <f>'E. Output'!C23</f>
        <v>39899.649999999994</v>
      </c>
      <c r="T23" s="147">
        <f t="shared" si="7"/>
        <v>2.8976942119271185E-2</v>
      </c>
      <c r="U23" s="116">
        <f>'E. Output'!E23</f>
        <v>40498.144749999992</v>
      </c>
      <c r="V23" s="147">
        <f t="shared" si="8"/>
        <v>2.9528773514405738E-2</v>
      </c>
      <c r="W23" s="116">
        <f>'E. Output'!G23</f>
        <v>41105.616921249988</v>
      </c>
      <c r="X23" s="147">
        <f t="shared" si="9"/>
        <v>2.961274435751288E-2</v>
      </c>
      <c r="Y23" s="116">
        <f>'E. Output'!I23</f>
        <v>41722.201175068731</v>
      </c>
      <c r="Z23" s="147">
        <f t="shared" si="10"/>
        <v>2.9806406455984646E-2</v>
      </c>
      <c r="AA23" s="116">
        <f>'E. Output'!K23</f>
        <v>42139.423186819418</v>
      </c>
      <c r="AB23" s="115">
        <f t="shared" si="11"/>
        <v>2.9819873488095304E-2</v>
      </c>
      <c r="AC23" s="12">
        <v>0</v>
      </c>
      <c r="AD23" s="15" t="e">
        <f t="shared" si="12"/>
        <v>#DIV/0!</v>
      </c>
      <c r="AE23" s="12">
        <v>0</v>
      </c>
      <c r="AF23" s="15" t="e">
        <f t="shared" si="13"/>
        <v>#DIV/0!</v>
      </c>
      <c r="AG23" s="12">
        <v>0</v>
      </c>
      <c r="AH23" s="15" t="e">
        <f t="shared" si="14"/>
        <v>#DIV/0!</v>
      </c>
      <c r="AI23" s="12">
        <v>0</v>
      </c>
      <c r="AJ23" s="15" t="e">
        <f t="shared" si="15"/>
        <v>#DIV/0!</v>
      </c>
      <c r="AK23" s="12">
        <v>0</v>
      </c>
      <c r="AL23" s="15" t="e">
        <f t="shared" si="16"/>
        <v>#DIV/0!</v>
      </c>
      <c r="AM23" s="12">
        <v>0</v>
      </c>
      <c r="AN23" s="15" t="e">
        <f t="shared" si="17"/>
        <v>#DIV/0!</v>
      </c>
    </row>
    <row r="24" spans="1:44" ht="15" customHeight="1" thickBot="1" x14ac:dyDescent="0.25">
      <c r="A24" s="34"/>
      <c r="B24" s="123" t="s">
        <v>132</v>
      </c>
      <c r="C24" s="209">
        <v>104130</v>
      </c>
      <c r="D24" s="147">
        <f t="shared" si="0"/>
        <v>8.4926642400358202E-2</v>
      </c>
      <c r="E24" s="209">
        <v>0</v>
      </c>
      <c r="F24" s="147">
        <f t="shared" si="1"/>
        <v>0</v>
      </c>
      <c r="G24" s="122">
        <v>0</v>
      </c>
      <c r="H24" s="147">
        <f t="shared" si="2"/>
        <v>0</v>
      </c>
      <c r="I24" s="122">
        <v>0</v>
      </c>
      <c r="J24" s="147">
        <f t="shared" si="3"/>
        <v>0</v>
      </c>
      <c r="K24" s="281">
        <v>64104</v>
      </c>
      <c r="L24" s="147">
        <f t="shared" si="4"/>
        <v>4.9971741613105657E-2</v>
      </c>
      <c r="M24" s="122">
        <v>0</v>
      </c>
      <c r="N24" s="147">
        <f t="shared" si="5"/>
        <v>0</v>
      </c>
      <c r="O24" s="122">
        <v>0</v>
      </c>
      <c r="P24" s="147">
        <f t="shared" si="6"/>
        <v>0</v>
      </c>
      <c r="Q24" s="34"/>
      <c r="R24" s="123" t="s">
        <v>132</v>
      </c>
      <c r="S24" s="116">
        <f>'E. Output'!C24</f>
        <v>0</v>
      </c>
      <c r="T24" s="147">
        <f t="shared" si="7"/>
        <v>0</v>
      </c>
      <c r="U24" s="116">
        <f>'E. Output'!E24</f>
        <v>0</v>
      </c>
      <c r="V24" s="147">
        <f t="shared" si="8"/>
        <v>0</v>
      </c>
      <c r="W24" s="116">
        <f>'E. Output'!G24</f>
        <v>0</v>
      </c>
      <c r="X24" s="147">
        <f t="shared" si="9"/>
        <v>0</v>
      </c>
      <c r="Y24" s="116">
        <f>'E. Output'!I24</f>
        <v>0</v>
      </c>
      <c r="Z24" s="147">
        <f t="shared" si="10"/>
        <v>0</v>
      </c>
      <c r="AA24" s="116">
        <f>'E. Output'!K24</f>
        <v>0</v>
      </c>
      <c r="AB24" s="115">
        <f t="shared" si="11"/>
        <v>0</v>
      </c>
      <c r="AC24" s="12">
        <v>0</v>
      </c>
      <c r="AD24" s="15" t="e">
        <f t="shared" si="12"/>
        <v>#DIV/0!</v>
      </c>
      <c r="AE24" s="12">
        <v>0</v>
      </c>
      <c r="AF24" s="15" t="e">
        <f t="shared" si="13"/>
        <v>#DIV/0!</v>
      </c>
      <c r="AG24" s="12">
        <v>0</v>
      </c>
      <c r="AH24" s="15" t="e">
        <f t="shared" si="14"/>
        <v>#DIV/0!</v>
      </c>
      <c r="AI24" s="12">
        <v>0</v>
      </c>
      <c r="AJ24" s="15" t="e">
        <f t="shared" si="15"/>
        <v>#DIV/0!</v>
      </c>
      <c r="AK24" s="12">
        <v>0</v>
      </c>
      <c r="AL24" s="15" t="e">
        <f t="shared" si="16"/>
        <v>#DIV/0!</v>
      </c>
      <c r="AM24" s="12">
        <v>0</v>
      </c>
      <c r="AN24" s="15" t="e">
        <f t="shared" si="17"/>
        <v>#DIV/0!</v>
      </c>
    </row>
    <row r="25" spans="1:44" ht="15" customHeight="1" thickBot="1" x14ac:dyDescent="0.25">
      <c r="A25" s="34"/>
      <c r="B25" s="34" t="s">
        <v>28</v>
      </c>
      <c r="C25" s="200">
        <f>C23-C24</f>
        <v>58328</v>
      </c>
      <c r="D25" s="147">
        <f t="shared" si="0"/>
        <v>4.7571316603554147E-2</v>
      </c>
      <c r="E25" s="200">
        <f>E23-E24</f>
        <v>52715</v>
      </c>
      <c r="F25" s="147">
        <f t="shared" si="1"/>
        <v>4.3933193876105309E-2</v>
      </c>
      <c r="G25" s="279">
        <f>G23-G24</f>
        <v>54384</v>
      </c>
      <c r="H25" s="147">
        <f t="shared" si="2"/>
        <v>4.2853461868503605E-2</v>
      </c>
      <c r="I25" s="279">
        <f>I23-I24</f>
        <v>66404</v>
      </c>
      <c r="J25" s="147">
        <f t="shared" si="3"/>
        <v>5.1154449398663288E-2</v>
      </c>
      <c r="K25" s="279">
        <f>K23-K24</f>
        <v>42607</v>
      </c>
      <c r="L25" s="147">
        <f t="shared" si="4"/>
        <v>3.3213933528478609E-2</v>
      </c>
      <c r="M25" s="124">
        <f>M23-M24</f>
        <v>64086</v>
      </c>
      <c r="N25" s="147">
        <f t="shared" si="5"/>
        <v>5.3918392965015223E-2</v>
      </c>
      <c r="O25" s="124">
        <f>O23-O24</f>
        <v>39310</v>
      </c>
      <c r="P25" s="147">
        <f t="shared" si="6"/>
        <v>3.9612241401896467E-2</v>
      </c>
      <c r="Q25" s="34"/>
      <c r="R25" s="34" t="s">
        <v>28</v>
      </c>
      <c r="S25" s="124">
        <f>S23-S24</f>
        <v>39899.649999999994</v>
      </c>
      <c r="T25" s="147">
        <f t="shared" si="7"/>
        <v>2.8976942119271185E-2</v>
      </c>
      <c r="U25" s="124">
        <f>U23-U24</f>
        <v>40498.144749999992</v>
      </c>
      <c r="V25" s="147">
        <f t="shared" si="8"/>
        <v>2.9528773514405738E-2</v>
      </c>
      <c r="W25" s="124">
        <f>W23-W24</f>
        <v>41105.616921249988</v>
      </c>
      <c r="X25" s="147">
        <f t="shared" si="9"/>
        <v>2.961274435751288E-2</v>
      </c>
      <c r="Y25" s="124">
        <f>Y23-Y24</f>
        <v>41722.201175068731</v>
      </c>
      <c r="Z25" s="147">
        <f t="shared" si="10"/>
        <v>2.9806406455984646E-2</v>
      </c>
      <c r="AA25" s="124">
        <f>AA23-AA24</f>
        <v>42139.423186819418</v>
      </c>
      <c r="AB25" s="115">
        <f t="shared" si="11"/>
        <v>2.9819873488095304E-2</v>
      </c>
      <c r="AC25" s="24">
        <f>AC23-AC24</f>
        <v>0</v>
      </c>
      <c r="AD25" s="15" t="e">
        <f t="shared" si="12"/>
        <v>#DIV/0!</v>
      </c>
      <c r="AE25" s="24">
        <f>AE23-AE24</f>
        <v>0</v>
      </c>
      <c r="AF25" s="15" t="e">
        <f t="shared" si="13"/>
        <v>#DIV/0!</v>
      </c>
      <c r="AG25" s="24">
        <f>AG23-AG24</f>
        <v>0</v>
      </c>
      <c r="AH25" s="15" t="e">
        <f t="shared" si="14"/>
        <v>#DIV/0!</v>
      </c>
      <c r="AI25" s="24">
        <f>AI23-AI24</f>
        <v>0</v>
      </c>
      <c r="AJ25" s="15" t="e">
        <f t="shared" si="15"/>
        <v>#DIV/0!</v>
      </c>
      <c r="AK25" s="24">
        <f>AK23-AK24</f>
        <v>0</v>
      </c>
      <c r="AL25" s="15" t="e">
        <f t="shared" si="16"/>
        <v>#DIV/0!</v>
      </c>
      <c r="AM25" s="24">
        <f>AM23-AM24</f>
        <v>0</v>
      </c>
      <c r="AN25" s="15" t="e">
        <f t="shared" si="17"/>
        <v>#DIV/0!</v>
      </c>
    </row>
    <row r="26" spans="1:44" ht="15" customHeight="1" thickBot="1" x14ac:dyDescent="0.25">
      <c r="A26" s="34"/>
      <c r="B26" s="34" t="s">
        <v>215</v>
      </c>
      <c r="C26" s="208">
        <v>11964</v>
      </c>
      <c r="D26" s="147">
        <f>C26/C$30</f>
        <v>9.7576332438095228E-3</v>
      </c>
      <c r="E26" s="209">
        <v>11531</v>
      </c>
      <c r="F26" s="147">
        <f t="shared" si="1"/>
        <v>9.6100475876955381E-3</v>
      </c>
      <c r="G26" s="121">
        <v>19518</v>
      </c>
      <c r="H26" s="147">
        <f t="shared" si="2"/>
        <v>1.5379778404483917E-2</v>
      </c>
      <c r="I26" s="121">
        <v>18459</v>
      </c>
      <c r="J26" s="147">
        <f t="shared" si="3"/>
        <v>1.4219926231099415E-2</v>
      </c>
      <c r="K26" s="121">
        <f>22731-4</f>
        <v>22727</v>
      </c>
      <c r="L26" s="147">
        <f t="shared" si="4"/>
        <v>1.7716644384766195E-2</v>
      </c>
      <c r="M26" s="121">
        <f>24744+1</f>
        <v>24745</v>
      </c>
      <c r="N26" s="147"/>
      <c r="O26" s="121">
        <v>600</v>
      </c>
      <c r="P26" s="147">
        <f t="shared" si="6"/>
        <v>6.0461319870612777E-4</v>
      </c>
      <c r="Q26" s="34"/>
      <c r="R26" s="34" t="s">
        <v>215</v>
      </c>
      <c r="S26" s="116">
        <f>'E. Output'!C26</f>
        <v>608.99999999999989</v>
      </c>
      <c r="T26" s="147">
        <f t="shared" si="7"/>
        <v>4.4228352255310888E-4</v>
      </c>
      <c r="U26" s="116">
        <f>'E. Output'!E26</f>
        <v>618.13499999999988</v>
      </c>
      <c r="V26" s="147">
        <f t="shared" si="8"/>
        <v>4.5070628615221173E-4</v>
      </c>
      <c r="W26" s="116">
        <f>'E. Output'!G26</f>
        <v>627.40702499999986</v>
      </c>
      <c r="X26" s="147">
        <f t="shared" si="9"/>
        <v>4.5198795763184253E-4</v>
      </c>
      <c r="Y26" s="116">
        <f>'E. Output'!I26</f>
        <v>636.81813037499978</v>
      </c>
      <c r="Z26" s="147"/>
      <c r="AA26" s="116">
        <f>'E. Output'!K26</f>
        <v>643.1863116787498</v>
      </c>
      <c r="AB26" s="115">
        <f t="shared" si="11"/>
        <v>4.5514942998873533E-4</v>
      </c>
      <c r="AC26" s="349"/>
      <c r="AD26" s="15"/>
      <c r="AE26" s="349"/>
      <c r="AF26" s="15"/>
      <c r="AG26" s="349"/>
      <c r="AH26" s="15"/>
      <c r="AI26" s="349"/>
      <c r="AJ26" s="15"/>
      <c r="AK26" s="349"/>
      <c r="AL26" s="15"/>
      <c r="AM26" s="349"/>
      <c r="AN26" s="15"/>
    </row>
    <row r="27" spans="1:44" ht="15" customHeight="1" x14ac:dyDescent="0.2">
      <c r="A27" s="34"/>
      <c r="B27" s="48" t="s">
        <v>201</v>
      </c>
      <c r="C27" s="208">
        <v>0</v>
      </c>
      <c r="D27" s="147">
        <f>C27/C$30</f>
        <v>0</v>
      </c>
      <c r="E27" s="208">
        <v>0</v>
      </c>
      <c r="F27" s="147">
        <f>E27/E$30</f>
        <v>0</v>
      </c>
      <c r="G27" s="121">
        <v>0</v>
      </c>
      <c r="H27" s="147">
        <f t="shared" si="2"/>
        <v>0</v>
      </c>
      <c r="I27" s="121">
        <v>0</v>
      </c>
      <c r="J27" s="147">
        <f t="shared" si="3"/>
        <v>0</v>
      </c>
      <c r="K27" s="121">
        <v>0</v>
      </c>
      <c r="L27" s="147">
        <f t="shared" si="4"/>
        <v>0</v>
      </c>
      <c r="M27" s="121">
        <v>0</v>
      </c>
      <c r="N27" s="147">
        <f>M27/M$30</f>
        <v>0</v>
      </c>
      <c r="O27" s="121">
        <v>154000</v>
      </c>
      <c r="P27" s="147">
        <f t="shared" si="6"/>
        <v>0.1551840543345728</v>
      </c>
      <c r="Q27" s="34"/>
      <c r="R27" s="48" t="s">
        <v>201</v>
      </c>
      <c r="S27" s="117">
        <f>'E. Output'!C27</f>
        <v>156309.99999999997</v>
      </c>
      <c r="T27" s="147">
        <f t="shared" si="7"/>
        <v>0.11351943745529795</v>
      </c>
      <c r="U27" s="117">
        <f>'E. Output'!E27</f>
        <v>158654.64999999997</v>
      </c>
      <c r="V27" s="147">
        <f t="shared" si="8"/>
        <v>0.115681280112401</v>
      </c>
      <c r="W27" s="117">
        <f>'E. Output'!G27</f>
        <v>161034.46974999996</v>
      </c>
      <c r="X27" s="147">
        <f t="shared" si="9"/>
        <v>0.11601024245883958</v>
      </c>
      <c r="Y27" s="117">
        <f>'E. Output'!I27</f>
        <v>163449.98679624996</v>
      </c>
      <c r="Z27" s="147">
        <f>Y27/Y$30</f>
        <v>0.11676892887869846</v>
      </c>
      <c r="AA27" s="117">
        <f>'E. Output'!K27</f>
        <v>165901.73659819367</v>
      </c>
      <c r="AB27" s="115">
        <f t="shared" si="11"/>
        <v>0.11740001221376106</v>
      </c>
      <c r="AC27" s="11">
        <v>0</v>
      </c>
      <c r="AD27" s="15" t="e">
        <f>AC27/AC$30</f>
        <v>#DIV/0!</v>
      </c>
      <c r="AE27" s="11">
        <v>0</v>
      </c>
      <c r="AF27" s="15" t="e">
        <f>AE27/AE$30</f>
        <v>#DIV/0!</v>
      </c>
      <c r="AG27" s="11">
        <v>0</v>
      </c>
      <c r="AH27" s="15" t="e">
        <f>AG27/AG$30</f>
        <v>#DIV/0!</v>
      </c>
      <c r="AI27" s="11">
        <v>0</v>
      </c>
      <c r="AJ27" s="15" t="e">
        <f>AI27/AI$30</f>
        <v>#DIV/0!</v>
      </c>
      <c r="AK27" s="11">
        <v>0</v>
      </c>
      <c r="AL27" s="15" t="e">
        <f>AK27/AK$30</f>
        <v>#DIV/0!</v>
      </c>
      <c r="AM27" s="11">
        <v>0</v>
      </c>
      <c r="AN27" s="15" t="e">
        <f>AM27/AM$30</f>
        <v>#DIV/0!</v>
      </c>
    </row>
    <row r="28" spans="1:44" s="7" customFormat="1" ht="15" customHeight="1" x14ac:dyDescent="0.2">
      <c r="A28" s="35"/>
      <c r="B28" s="118" t="s">
        <v>34</v>
      </c>
      <c r="C28" s="201">
        <f>C18+C19+C20+C21+C22+C25+C26+C27</f>
        <v>604812</v>
      </c>
      <c r="D28" s="148">
        <f>C28/C$30</f>
        <v>0.49327429600927153</v>
      </c>
      <c r="E28" s="201">
        <f>E18+E19+E20+E21+E22+E25+E27+E26</f>
        <v>585506</v>
      </c>
      <c r="F28" s="148">
        <f>E28/E$30</f>
        <v>0.48796639691971766</v>
      </c>
      <c r="G28" s="201">
        <f>G18+G19+G20+G21+G22+G25+G27+G26</f>
        <v>704406</v>
      </c>
      <c r="H28" s="148">
        <f t="shared" si="2"/>
        <v>0.55505729002914739</v>
      </c>
      <c r="I28" s="201">
        <f>I18+I19+I20+I21+I22+I25+I27+I26</f>
        <v>696262</v>
      </c>
      <c r="J28" s="148">
        <f t="shared" ref="J28:J30" si="18">I28/I$30</f>
        <v>0.53636677379694142</v>
      </c>
      <c r="K28" s="201">
        <f>K18+K19+K20+K21+K22+K25+K27+K26</f>
        <v>678308</v>
      </c>
      <c r="L28" s="148">
        <f t="shared" si="4"/>
        <v>0.52876937648356526</v>
      </c>
      <c r="M28" s="201">
        <f>M18+M19+M20+M21+M22+M25+M27+M26</f>
        <v>697494</v>
      </c>
      <c r="N28" s="148">
        <f>M28/M$30</f>
        <v>0.58683262464095631</v>
      </c>
      <c r="O28" s="201">
        <f>O18+O19+O20+O21+O22+O25+O27+O26</f>
        <v>555070</v>
      </c>
      <c r="P28" s="149">
        <f t="shared" si="6"/>
        <v>0.55933774700968386</v>
      </c>
      <c r="Q28" s="35"/>
      <c r="R28" s="118" t="s">
        <v>34</v>
      </c>
      <c r="S28" s="119">
        <f>S18+S19+S20+S21+S22+S25+S27+S26</f>
        <v>935267.80790175009</v>
      </c>
      <c r="T28" s="148">
        <f t="shared" si="7"/>
        <v>0.67923405682973803</v>
      </c>
      <c r="U28" s="119">
        <f>U18+U19+U20+U21+U22+U25+U27+U26</f>
        <v>925295.45029106992</v>
      </c>
      <c r="V28" s="148">
        <f t="shared" si="8"/>
        <v>0.67466892506366194</v>
      </c>
      <c r="W28" s="119">
        <f>W18+W19+W20+W21+W22+W25+W27+W26</f>
        <v>937276.75255606137</v>
      </c>
      <c r="X28" s="148">
        <f t="shared" si="9"/>
        <v>0.67522005371811089</v>
      </c>
      <c r="Y28" s="119">
        <f>Y18+Y19+Y20+Y21+Y22+Y25+Y27+Y26</f>
        <v>944161.20392786455</v>
      </c>
      <c r="Z28" s="148">
        <f>Y28/Y$30</f>
        <v>0.67451025621011906</v>
      </c>
      <c r="AA28" s="119">
        <f>AA18+AA19+AA20+AA21+AA22+AA25+AA27+AA26</f>
        <v>952594.10454033478</v>
      </c>
      <c r="AB28" s="120">
        <f t="shared" si="11"/>
        <v>0.67410119870324336</v>
      </c>
      <c r="AC28" s="8">
        <f>AC18+AC19+AC20+AC21+AC22+AC25+AC27</f>
        <v>0</v>
      </c>
      <c r="AD28" s="15" t="e">
        <f>AC28/AC$30</f>
        <v>#DIV/0!</v>
      </c>
      <c r="AE28" s="8">
        <f>AE18+AE19+AE20+AE21+AE22+AE25+AE27</f>
        <v>0</v>
      </c>
      <c r="AF28" s="16" t="e">
        <f>AE28/AE$30</f>
        <v>#DIV/0!</v>
      </c>
      <c r="AG28" s="8">
        <f>AG18+AG19+AG20+AG21+AG22+AG25+AG27</f>
        <v>0</v>
      </c>
      <c r="AH28" s="16" t="e">
        <f>AG28/AG$30</f>
        <v>#DIV/0!</v>
      </c>
      <c r="AI28" s="8">
        <f>AI18+AI19+AI20+AI21+AI22+AI25+AI27</f>
        <v>0</v>
      </c>
      <c r="AJ28" s="16" t="e">
        <f>AI28/AI$30</f>
        <v>#DIV/0!</v>
      </c>
      <c r="AK28" s="8">
        <f>AK18+AK19+AK20+AK21+AK22+AK25+AK27</f>
        <v>0</v>
      </c>
      <c r="AL28" s="16" t="e">
        <f>AK28/AK$30</f>
        <v>#DIV/0!</v>
      </c>
      <c r="AM28" s="8">
        <f>AM18+AM19+AM20+AM21+AM22+AM25+AM27</f>
        <v>0</v>
      </c>
      <c r="AN28" s="16" t="e">
        <f>AM28/AM$30</f>
        <v>#DIV/0!</v>
      </c>
    </row>
    <row r="29" spans="1:44" ht="15" customHeight="1" thickBot="1" x14ac:dyDescent="0.25">
      <c r="A29" s="34"/>
      <c r="B29" s="34" t="s">
        <v>24</v>
      </c>
      <c r="C29" s="210">
        <v>0</v>
      </c>
      <c r="D29" s="147">
        <f>C29/C$30</f>
        <v>0</v>
      </c>
      <c r="E29" s="210">
        <v>0</v>
      </c>
      <c r="F29" s="147">
        <f>E29/E$30</f>
        <v>0</v>
      </c>
      <c r="G29" s="211">
        <v>0</v>
      </c>
      <c r="H29" s="147">
        <f t="shared" si="2"/>
        <v>0</v>
      </c>
      <c r="I29" s="211">
        <v>0</v>
      </c>
      <c r="J29" s="147">
        <f t="shared" si="18"/>
        <v>0</v>
      </c>
      <c r="K29" s="211">
        <v>0</v>
      </c>
      <c r="L29" s="147">
        <f t="shared" si="4"/>
        <v>0</v>
      </c>
      <c r="M29" s="211">
        <v>0</v>
      </c>
      <c r="N29" s="147">
        <f>M29/M$30</f>
        <v>0</v>
      </c>
      <c r="O29" s="211">
        <v>0</v>
      </c>
      <c r="P29" s="147">
        <f t="shared" si="6"/>
        <v>0</v>
      </c>
      <c r="Q29" s="34"/>
      <c r="R29" s="34" t="s">
        <v>24</v>
      </c>
      <c r="S29" s="117">
        <f>'E. Output'!C29</f>
        <v>0</v>
      </c>
      <c r="T29" s="147">
        <f t="shared" si="7"/>
        <v>0</v>
      </c>
      <c r="U29" s="117">
        <f>'E. Output'!E29</f>
        <v>0</v>
      </c>
      <c r="V29" s="147">
        <f t="shared" si="8"/>
        <v>0</v>
      </c>
      <c r="W29" s="117">
        <f>'E. Output'!G29</f>
        <v>0</v>
      </c>
      <c r="X29" s="147">
        <f t="shared" si="9"/>
        <v>0</v>
      </c>
      <c r="Y29" s="117">
        <f>'E. Output'!I29</f>
        <v>0</v>
      </c>
      <c r="Z29" s="147">
        <f>Y29/Y$30</f>
        <v>0</v>
      </c>
      <c r="AA29" s="117">
        <f>'E. Output'!K29</f>
        <v>0</v>
      </c>
      <c r="AB29" s="115">
        <f t="shared" si="11"/>
        <v>0</v>
      </c>
      <c r="AC29" s="5">
        <v>0</v>
      </c>
      <c r="AD29" s="15" t="e">
        <f>AC29/AC$30</f>
        <v>#DIV/0!</v>
      </c>
      <c r="AE29" s="5">
        <v>0</v>
      </c>
      <c r="AF29" s="15" t="e">
        <f>AE29/AE$30</f>
        <v>#DIV/0!</v>
      </c>
      <c r="AG29" s="5">
        <v>0</v>
      </c>
      <c r="AH29" s="15" t="e">
        <f>AG29/AG$30</f>
        <v>#DIV/0!</v>
      </c>
      <c r="AI29" s="5">
        <v>0</v>
      </c>
      <c r="AJ29" s="15" t="e">
        <f>AI29/AI$30</f>
        <v>#DIV/0!</v>
      </c>
      <c r="AK29" s="5">
        <v>0</v>
      </c>
      <c r="AL29" s="15" t="e">
        <f>AK29/AK$30</f>
        <v>#DIV/0!</v>
      </c>
      <c r="AM29" s="5">
        <v>0</v>
      </c>
      <c r="AN29" s="15" t="e">
        <f>AM29/AM$30</f>
        <v>#DIV/0!</v>
      </c>
    </row>
    <row r="30" spans="1:44" s="7" customFormat="1" ht="15" customHeight="1" thickBot="1" x14ac:dyDescent="0.25">
      <c r="A30" s="125" t="s">
        <v>36</v>
      </c>
      <c r="B30" s="125"/>
      <c r="C30" s="201">
        <f>C14+C17+C28+C29</f>
        <v>1226117</v>
      </c>
      <c r="D30" s="150">
        <f>C30/C$30</f>
        <v>1</v>
      </c>
      <c r="E30" s="201">
        <f>E14+E17+E28+E29</f>
        <v>1199890</v>
      </c>
      <c r="F30" s="150">
        <f>E30/E$30</f>
        <v>1</v>
      </c>
      <c r="G30" s="132">
        <f>G14+G17+G28+G29</f>
        <v>1269069</v>
      </c>
      <c r="H30" s="150">
        <f t="shared" si="2"/>
        <v>1</v>
      </c>
      <c r="I30" s="132">
        <f>I14+I17+I28+I29</f>
        <v>1298108</v>
      </c>
      <c r="J30" s="150">
        <f t="shared" si="18"/>
        <v>1</v>
      </c>
      <c r="K30" s="132">
        <f>K14+K17+K28+K29</f>
        <v>1282805</v>
      </c>
      <c r="L30" s="150">
        <f t="shared" si="4"/>
        <v>1</v>
      </c>
      <c r="M30" s="132">
        <f>M14+M17+M28+M29</f>
        <v>1188574</v>
      </c>
      <c r="N30" s="150">
        <f>M30/M$30</f>
        <v>1</v>
      </c>
      <c r="O30" s="126">
        <f>O14+O17+O28+O29</f>
        <v>992370</v>
      </c>
      <c r="P30" s="150">
        <f t="shared" si="6"/>
        <v>1</v>
      </c>
      <c r="Q30" s="125" t="s">
        <v>36</v>
      </c>
      <c r="R30" s="125"/>
      <c r="S30" s="126">
        <f>S14+S17+S28+S29</f>
        <v>1376944.8079017501</v>
      </c>
      <c r="T30" s="150">
        <f t="shared" si="7"/>
        <v>1</v>
      </c>
      <c r="U30" s="126">
        <f>U14+U17+U28+U29</f>
        <v>1371480.76029107</v>
      </c>
      <c r="V30" s="150">
        <f t="shared" si="8"/>
        <v>1</v>
      </c>
      <c r="W30" s="126">
        <f>W14+W17+W28+W29</f>
        <v>1388105.6218560613</v>
      </c>
      <c r="X30" s="150">
        <f t="shared" si="9"/>
        <v>1</v>
      </c>
      <c r="Y30" s="126">
        <f>Y14+Y17+Y28+Y29</f>
        <v>1399772.9393068645</v>
      </c>
      <c r="Z30" s="150">
        <f>Y30/Y$30</f>
        <v>1</v>
      </c>
      <c r="AA30" s="126">
        <f>AA14+AA17+AA28+AA29</f>
        <v>1413132.1919807047</v>
      </c>
      <c r="AB30" s="127">
        <f t="shared" si="11"/>
        <v>1</v>
      </c>
      <c r="AC30" s="8">
        <f>AC14+AC17+AC28+AC29</f>
        <v>0</v>
      </c>
      <c r="AD30" s="16" t="e">
        <f>AC30/AC$30</f>
        <v>#DIV/0!</v>
      </c>
      <c r="AE30" s="8">
        <f>AE14+AE17+AE28+AE29</f>
        <v>0</v>
      </c>
      <c r="AF30" s="16" t="e">
        <f>AE30/AE$30</f>
        <v>#DIV/0!</v>
      </c>
      <c r="AG30" s="8">
        <f>AG14+AG17+AG28+AG29</f>
        <v>0</v>
      </c>
      <c r="AH30" s="16" t="e">
        <f>AG30/AG$30</f>
        <v>#DIV/0!</v>
      </c>
      <c r="AI30" s="8">
        <f>AI14+AI17+AI28+AI29</f>
        <v>0</v>
      </c>
      <c r="AJ30" s="16" t="e">
        <f>AI30/AI$30</f>
        <v>#DIV/0!</v>
      </c>
      <c r="AK30" s="8">
        <f>AK14+AK17+AK28+AK29</f>
        <v>0</v>
      </c>
      <c r="AL30" s="16" t="e">
        <f>AK30/AK$30</f>
        <v>#DIV/0!</v>
      </c>
      <c r="AM30" s="8">
        <f>AM14+AM17+AM28+AM29</f>
        <v>0</v>
      </c>
      <c r="AN30" s="16" t="e">
        <f>AM30/AM$30</f>
        <v>#DIV/0!</v>
      </c>
    </row>
    <row r="31" spans="1:44" ht="12" customHeight="1" thickTop="1" x14ac:dyDescent="0.2">
      <c r="A31" s="34"/>
      <c r="B31" s="34"/>
      <c r="C31" s="128"/>
      <c r="D31" s="147"/>
      <c r="E31" s="202"/>
      <c r="F31" s="147"/>
      <c r="G31" s="202"/>
      <c r="H31" s="147"/>
      <c r="I31" s="128"/>
      <c r="J31" s="147"/>
      <c r="K31" s="128"/>
      <c r="L31" s="147"/>
      <c r="M31" s="128"/>
      <c r="N31" s="147"/>
      <c r="O31" s="128"/>
      <c r="P31" s="147"/>
      <c r="Q31" s="34"/>
      <c r="R31" s="34"/>
      <c r="S31" s="128"/>
      <c r="T31" s="147"/>
      <c r="U31" s="128"/>
      <c r="V31" s="147"/>
      <c r="W31" s="128"/>
      <c r="X31" s="147"/>
      <c r="Y31" s="128"/>
      <c r="Z31" s="147"/>
      <c r="AA31" s="128"/>
      <c r="AB31" s="115"/>
      <c r="AC31" s="13"/>
      <c r="AD31" s="15"/>
      <c r="AE31" s="13"/>
      <c r="AF31" s="15"/>
      <c r="AG31" s="13"/>
      <c r="AH31" s="15"/>
      <c r="AI31" s="13"/>
      <c r="AJ31" s="15"/>
      <c r="AK31" s="13"/>
      <c r="AL31" s="15"/>
      <c r="AM31" s="13"/>
      <c r="AN31" s="15"/>
    </row>
    <row r="32" spans="1:44" ht="15" customHeight="1" x14ac:dyDescent="0.2">
      <c r="A32" s="33" t="s">
        <v>37</v>
      </c>
      <c r="B32" s="34"/>
      <c r="C32" s="128"/>
      <c r="D32" s="147"/>
      <c r="E32" s="202"/>
      <c r="F32" s="147"/>
      <c r="G32" s="202"/>
      <c r="H32" s="147"/>
      <c r="I32" s="128"/>
      <c r="J32" s="147"/>
      <c r="K32" s="128"/>
      <c r="L32" s="147"/>
      <c r="M32" s="128"/>
      <c r="N32" s="147"/>
      <c r="O32" s="128"/>
      <c r="P32" s="147"/>
      <c r="Q32" s="33" t="s">
        <v>37</v>
      </c>
      <c r="R32" s="34"/>
      <c r="S32" s="128"/>
      <c r="T32" s="147"/>
      <c r="U32" s="128"/>
      <c r="V32" s="147"/>
      <c r="W32" s="128"/>
      <c r="X32" s="147"/>
      <c r="Y32" s="128"/>
      <c r="Z32" s="147"/>
      <c r="AA32" s="128"/>
      <c r="AB32" s="115"/>
      <c r="AC32" s="13"/>
      <c r="AD32" s="15"/>
      <c r="AE32" s="13"/>
      <c r="AF32" s="15"/>
      <c r="AG32" s="13"/>
      <c r="AH32" s="15"/>
      <c r="AI32" s="13"/>
      <c r="AJ32" s="15"/>
      <c r="AK32" s="13"/>
      <c r="AL32" s="15"/>
      <c r="AM32" s="13"/>
      <c r="AN32" s="15"/>
      <c r="AR32" s="1" t="s">
        <v>149</v>
      </c>
    </row>
    <row r="33" spans="1:44" ht="6" customHeight="1" x14ac:dyDescent="0.2">
      <c r="A33" s="33"/>
      <c r="B33" s="34"/>
      <c r="C33" s="128"/>
      <c r="D33" s="147"/>
      <c r="E33" s="202"/>
      <c r="F33" s="147"/>
      <c r="G33" s="202"/>
      <c r="H33" s="147"/>
      <c r="I33" s="128"/>
      <c r="J33" s="147"/>
      <c r="K33" s="128"/>
      <c r="L33" s="147"/>
      <c r="M33" s="128"/>
      <c r="N33" s="147"/>
      <c r="O33" s="128"/>
      <c r="P33" s="147"/>
      <c r="Q33" s="33"/>
      <c r="R33" s="34"/>
      <c r="S33" s="128"/>
      <c r="T33" s="147"/>
      <c r="U33" s="128"/>
      <c r="V33" s="147"/>
      <c r="W33" s="128"/>
      <c r="X33" s="147"/>
      <c r="Y33" s="128"/>
      <c r="Z33" s="147"/>
      <c r="AA33" s="128"/>
      <c r="AB33" s="115"/>
      <c r="AC33" s="13"/>
      <c r="AD33" s="15"/>
      <c r="AE33" s="13"/>
      <c r="AF33" s="15"/>
      <c r="AG33" s="13"/>
      <c r="AH33" s="15"/>
      <c r="AI33" s="13"/>
      <c r="AJ33" s="15"/>
      <c r="AK33" s="13"/>
      <c r="AL33" s="15"/>
      <c r="AM33" s="13"/>
      <c r="AN33" s="15"/>
      <c r="AR33" s="1" t="s">
        <v>150</v>
      </c>
    </row>
    <row r="34" spans="1:44" ht="15" customHeight="1" thickBot="1" x14ac:dyDescent="0.25">
      <c r="A34" s="34"/>
      <c r="B34" s="34" t="s">
        <v>25</v>
      </c>
      <c r="C34" s="207">
        <v>652625</v>
      </c>
      <c r="D34" s="147">
        <f>C34/C$38</f>
        <v>0.5378841013781207</v>
      </c>
      <c r="E34" s="207">
        <v>654187</v>
      </c>
      <c r="F34" s="147">
        <f>E34/E$38</f>
        <v>0.55748080479262363</v>
      </c>
      <c r="G34" s="114">
        <v>666704</v>
      </c>
      <c r="H34" s="147">
        <f>G34/G$38</f>
        <v>0.5293742590829581</v>
      </c>
      <c r="I34" s="114">
        <v>717212</v>
      </c>
      <c r="J34" s="147">
        <f>I34/I$38</f>
        <v>0.55322759550575662</v>
      </c>
      <c r="K34" s="114">
        <v>655769</v>
      </c>
      <c r="L34" s="147">
        <f>K34/K$38</f>
        <v>0.52376000466438399</v>
      </c>
      <c r="M34" s="114">
        <v>563919</v>
      </c>
      <c r="N34" s="147">
        <f>M34/M$38</f>
        <v>0.51544076515558679</v>
      </c>
      <c r="O34" s="114">
        <v>614306</v>
      </c>
      <c r="P34" s="147">
        <f>O34/O$38</f>
        <v>0.62924941511003307</v>
      </c>
      <c r="Q34" s="34"/>
      <c r="R34" s="34" t="s">
        <v>25</v>
      </c>
      <c r="S34" s="116">
        <f>'E. Output'!C34</f>
        <v>632735.18000000005</v>
      </c>
      <c r="T34" s="147">
        <f>S34/S$38</f>
        <v>0.63038395501307354</v>
      </c>
      <c r="U34" s="116">
        <f>'E. Output'!E34</f>
        <v>651717.23540000012</v>
      </c>
      <c r="V34" s="147">
        <f>U34/U$38</f>
        <v>0.63151705616181308</v>
      </c>
      <c r="W34" s="116">
        <f>'E. Output'!G34</f>
        <v>671268.75246200012</v>
      </c>
      <c r="X34" s="147">
        <f>W34/W$38</f>
        <v>0.63264870790114736</v>
      </c>
      <c r="Y34" s="116">
        <f>'E. Output'!I34</f>
        <v>691406.81503586017</v>
      </c>
      <c r="Z34" s="147">
        <f>Y34/Y$38</f>
        <v>0.63377889963749101</v>
      </c>
      <c r="AA34" s="116">
        <f>'E. Output'!K34</f>
        <v>712149.01948693604</v>
      </c>
      <c r="AB34" s="115">
        <f>AA34/AA$38</f>
        <v>0.6349076208391039</v>
      </c>
      <c r="AC34" s="10">
        <v>0</v>
      </c>
      <c r="AD34" s="15" t="e">
        <f>AC34/AC$38</f>
        <v>#DIV/0!</v>
      </c>
      <c r="AE34" s="10">
        <v>0</v>
      </c>
      <c r="AF34" s="15" t="e">
        <f>AE34/AE$38</f>
        <v>#DIV/0!</v>
      </c>
      <c r="AG34" s="10">
        <v>0</v>
      </c>
      <c r="AH34" s="15" t="e">
        <f>AG34/AG$38</f>
        <v>#DIV/0!</v>
      </c>
      <c r="AI34" s="10">
        <v>0</v>
      </c>
      <c r="AJ34" s="15" t="e">
        <f>AI34/AI$38</f>
        <v>#DIV/0!</v>
      </c>
      <c r="AK34" s="10">
        <v>0</v>
      </c>
      <c r="AL34" s="15" t="e">
        <f>AK34/AK$38</f>
        <v>#DIV/0!</v>
      </c>
      <c r="AM34" s="10">
        <v>0</v>
      </c>
      <c r="AN34" s="15" t="e">
        <f>AM34/AM$38</f>
        <v>#DIV/0!</v>
      </c>
    </row>
    <row r="35" spans="1:44" ht="15" customHeight="1" thickBot="1" x14ac:dyDescent="0.25">
      <c r="A35" s="34"/>
      <c r="B35" s="34" t="s">
        <v>26</v>
      </c>
      <c r="C35" s="209">
        <v>664824</v>
      </c>
      <c r="D35" s="147">
        <f>C35/C$38</f>
        <v>0.54793834102985284</v>
      </c>
      <c r="E35" s="209">
        <v>519283</v>
      </c>
      <c r="F35" s="147">
        <f>E35/E$38</f>
        <v>0.44251919520737643</v>
      </c>
      <c r="G35" s="122">
        <v>592715</v>
      </c>
      <c r="H35" s="147">
        <f>G35/G$38</f>
        <v>0.4706257409170419</v>
      </c>
      <c r="I35" s="122">
        <v>579202</v>
      </c>
      <c r="J35" s="147">
        <f>I35/I$38</f>
        <v>0.44677240449424332</v>
      </c>
      <c r="K35" s="122">
        <f>660376</f>
        <v>660376</v>
      </c>
      <c r="L35" s="147">
        <f>K35/K$38</f>
        <v>0.52743959662662809</v>
      </c>
      <c r="M35" s="122">
        <f>530132+1</f>
        <v>530133</v>
      </c>
      <c r="N35" s="147">
        <f>M35/M$38</f>
        <v>0.48455923484441327</v>
      </c>
      <c r="O35" s="122">
        <v>361946</v>
      </c>
      <c r="P35" s="147">
        <f>O35/O$38</f>
        <v>0.37075058488996693</v>
      </c>
      <c r="Q35" s="34"/>
      <c r="R35" s="34" t="s">
        <v>26</v>
      </c>
      <c r="S35" s="116">
        <f>'E. Output'!C35</f>
        <v>370994.64999999997</v>
      </c>
      <c r="T35" s="147">
        <f>S35/S$38</f>
        <v>0.36961604498692635</v>
      </c>
      <c r="U35" s="116">
        <f>'E. Output'!E35</f>
        <v>380269.51624999993</v>
      </c>
      <c r="V35" s="147">
        <f>U35/U$38</f>
        <v>0.36848294383818697</v>
      </c>
      <c r="W35" s="116">
        <f>'E. Output'!G35</f>
        <v>389776.25415624987</v>
      </c>
      <c r="X35" s="147">
        <f>W35/W$38</f>
        <v>0.36735129209885276</v>
      </c>
      <c r="Y35" s="116">
        <f>'E. Output'!I35</f>
        <v>399520.66051015607</v>
      </c>
      <c r="Z35" s="147">
        <f>Y35/Y$38</f>
        <v>0.36622110036250882</v>
      </c>
      <c r="AA35" s="116">
        <f>'E. Output'!K35</f>
        <v>409508.67702290992</v>
      </c>
      <c r="AB35" s="115">
        <f>AA35/AA$38</f>
        <v>0.36509237916089599</v>
      </c>
      <c r="AC35" s="12">
        <v>0</v>
      </c>
      <c r="AD35" s="15" t="e">
        <f>AC35/AC$38</f>
        <v>#DIV/0!</v>
      </c>
      <c r="AE35" s="12">
        <v>0</v>
      </c>
      <c r="AF35" s="15" t="e">
        <f>AE35/AE$38</f>
        <v>#DIV/0!</v>
      </c>
      <c r="AG35" s="12">
        <v>0</v>
      </c>
      <c r="AH35" s="15" t="e">
        <f>AG35/AG$38</f>
        <v>#DIV/0!</v>
      </c>
      <c r="AI35" s="12">
        <v>0</v>
      </c>
      <c r="AJ35" s="15" t="e">
        <f>AI35/AI$38</f>
        <v>#DIV/0!</v>
      </c>
      <c r="AK35" s="12">
        <v>0</v>
      </c>
      <c r="AL35" s="15" t="e">
        <f>AK35/AK$38</f>
        <v>#DIV/0!</v>
      </c>
      <c r="AM35" s="12">
        <v>0</v>
      </c>
      <c r="AN35" s="15" t="e">
        <f>AM35/AM$38</f>
        <v>#DIV/0!</v>
      </c>
    </row>
    <row r="36" spans="1:44" ht="15" customHeight="1" thickBot="1" x14ac:dyDescent="0.25">
      <c r="A36" s="34"/>
      <c r="B36" s="123" t="s">
        <v>95</v>
      </c>
      <c r="C36" s="200">
        <f>C24</f>
        <v>104130</v>
      </c>
      <c r="D36" s="147">
        <f>C36/C$38</f>
        <v>8.5822442407973501E-2</v>
      </c>
      <c r="E36" s="200">
        <f>E24</f>
        <v>0</v>
      </c>
      <c r="F36" s="147">
        <f>E36/E$38</f>
        <v>0</v>
      </c>
      <c r="G36" s="200">
        <f>G24</f>
        <v>0</v>
      </c>
      <c r="H36" s="147">
        <f>G36/G$38</f>
        <v>0</v>
      </c>
      <c r="I36" s="124">
        <f>I24</f>
        <v>0</v>
      </c>
      <c r="J36" s="147">
        <f>I36/I$38</f>
        <v>0</v>
      </c>
      <c r="K36" s="124">
        <f>K24</f>
        <v>64104</v>
      </c>
      <c r="L36" s="147">
        <f>K36/K$38</f>
        <v>5.1199601291012038E-2</v>
      </c>
      <c r="M36" s="124">
        <f>M24</f>
        <v>0</v>
      </c>
      <c r="N36" s="147">
        <f>M36/M$38</f>
        <v>0</v>
      </c>
      <c r="O36" s="124">
        <f>O24</f>
        <v>0</v>
      </c>
      <c r="P36" s="147">
        <f>O36/O$38</f>
        <v>0</v>
      </c>
      <c r="Q36" s="34"/>
      <c r="R36" s="123" t="s">
        <v>95</v>
      </c>
      <c r="S36" s="116">
        <f>'E. Output'!C36</f>
        <v>0</v>
      </c>
      <c r="T36" s="147">
        <f>S36/S$38</f>
        <v>0</v>
      </c>
      <c r="U36" s="116">
        <f>'E. Output'!E36</f>
        <v>0</v>
      </c>
      <c r="V36" s="147">
        <f>U36/U$38</f>
        <v>0</v>
      </c>
      <c r="W36" s="116">
        <f>'E. Output'!G36</f>
        <v>0</v>
      </c>
      <c r="X36" s="147">
        <f>W36/W$38</f>
        <v>0</v>
      </c>
      <c r="Y36" s="116">
        <f>'E. Output'!I36</f>
        <v>0</v>
      </c>
      <c r="Z36" s="147">
        <f>Y36/Y$38</f>
        <v>0</v>
      </c>
      <c r="AA36" s="116">
        <f>'E. Output'!K36</f>
        <v>0</v>
      </c>
      <c r="AB36" s="115">
        <f>AA36/AA$38</f>
        <v>0</v>
      </c>
      <c r="AC36" s="24">
        <f>AC24</f>
        <v>0</v>
      </c>
      <c r="AD36" s="15" t="e">
        <f>AC36/AC$38</f>
        <v>#DIV/0!</v>
      </c>
      <c r="AE36" s="24">
        <f>AE24</f>
        <v>0</v>
      </c>
      <c r="AF36" s="15" t="e">
        <f>AE36/AE$38</f>
        <v>#DIV/0!</v>
      </c>
      <c r="AG36" s="24">
        <f>AG24</f>
        <v>0</v>
      </c>
      <c r="AH36" s="15" t="e">
        <f>AG36/AG$38</f>
        <v>#DIV/0!</v>
      </c>
      <c r="AI36" s="24">
        <f>AI24</f>
        <v>0</v>
      </c>
      <c r="AJ36" s="15" t="e">
        <f>AI36/AI$38</f>
        <v>#DIV/0!</v>
      </c>
      <c r="AK36" s="24">
        <f>AK24</f>
        <v>0</v>
      </c>
      <c r="AL36" s="15" t="e">
        <f>AK36/AK$38</f>
        <v>#DIV/0!</v>
      </c>
      <c r="AM36" s="24">
        <f>AM24</f>
        <v>0</v>
      </c>
      <c r="AN36" s="15" t="e">
        <f>AM36/AM$38</f>
        <v>#DIV/0!</v>
      </c>
    </row>
    <row r="37" spans="1:44" ht="15" customHeight="1" thickBot="1" x14ac:dyDescent="0.25">
      <c r="A37" s="34"/>
      <c r="B37" s="34" t="s">
        <v>29</v>
      </c>
      <c r="C37" s="200">
        <f>C35-C36</f>
        <v>560694</v>
      </c>
      <c r="D37" s="147">
        <f>C37/C$38</f>
        <v>0.46211589862187935</v>
      </c>
      <c r="E37" s="200">
        <f>E35-E36</f>
        <v>519283</v>
      </c>
      <c r="F37" s="147">
        <f>E37/E$38</f>
        <v>0.44251919520737643</v>
      </c>
      <c r="G37" s="200">
        <f>G35-G36</f>
        <v>592715</v>
      </c>
      <c r="H37" s="147">
        <f>G37/G$38</f>
        <v>0.4706257409170419</v>
      </c>
      <c r="I37" s="124">
        <f>I35-I36</f>
        <v>579202</v>
      </c>
      <c r="J37" s="147">
        <f>I37/I$38</f>
        <v>0.44677240449424332</v>
      </c>
      <c r="K37" s="124">
        <f>K35-K36</f>
        <v>596272</v>
      </c>
      <c r="L37" s="147">
        <f>K37/K$38</f>
        <v>0.47623999533561601</v>
      </c>
      <c r="M37" s="124">
        <f>M35-M36</f>
        <v>530133</v>
      </c>
      <c r="N37" s="147">
        <f>M37/M$38</f>
        <v>0.48455923484441327</v>
      </c>
      <c r="O37" s="129">
        <f>O35-O36</f>
        <v>361946</v>
      </c>
      <c r="P37" s="147">
        <f>O37/O$38</f>
        <v>0.37075058488996693</v>
      </c>
      <c r="Q37" s="34"/>
      <c r="R37" s="34" t="s">
        <v>29</v>
      </c>
      <c r="S37" s="116">
        <f>'E. Output'!C37</f>
        <v>370994.64999999997</v>
      </c>
      <c r="T37" s="147">
        <f>S37/S$38</f>
        <v>0.36961604498692635</v>
      </c>
      <c r="U37" s="116">
        <f>'E. Output'!E37</f>
        <v>380269.51624999993</v>
      </c>
      <c r="V37" s="147">
        <f>U37/U$38</f>
        <v>0.36848294383818697</v>
      </c>
      <c r="W37" s="116">
        <f>'E. Output'!G37</f>
        <v>389776.25415624987</v>
      </c>
      <c r="X37" s="147">
        <f>W37/W$38</f>
        <v>0.36735129209885276</v>
      </c>
      <c r="Y37" s="116">
        <f>'E. Output'!I37</f>
        <v>399520.66051015607</v>
      </c>
      <c r="Z37" s="147">
        <f>Y37/Y$38</f>
        <v>0.36622110036250882</v>
      </c>
      <c r="AA37" s="116">
        <f>'E. Output'!K37</f>
        <v>409508.67702290992</v>
      </c>
      <c r="AB37" s="115">
        <f>AA37/AA$38</f>
        <v>0.36509237916089599</v>
      </c>
      <c r="AC37" s="24">
        <f>AC35-AC36</f>
        <v>0</v>
      </c>
      <c r="AD37" s="15" t="e">
        <f>AC37/AC$38</f>
        <v>#DIV/0!</v>
      </c>
      <c r="AE37" s="24">
        <f>AE35-AE36</f>
        <v>0</v>
      </c>
      <c r="AF37" s="15" t="e">
        <f>AE37/AE$38</f>
        <v>#DIV/0!</v>
      </c>
      <c r="AG37" s="24">
        <f>AG35-AG36</f>
        <v>0</v>
      </c>
      <c r="AH37" s="15" t="e">
        <f>AG37/AG$38</f>
        <v>#DIV/0!</v>
      </c>
      <c r="AI37" s="24">
        <f>AI35-AI36</f>
        <v>0</v>
      </c>
      <c r="AJ37" s="15" t="e">
        <f>AI37/AI$38</f>
        <v>#DIV/0!</v>
      </c>
      <c r="AK37" s="24">
        <f>AK35-AK36</f>
        <v>0</v>
      </c>
      <c r="AL37" s="15" t="e">
        <f>AK37/AK$38</f>
        <v>#DIV/0!</v>
      </c>
      <c r="AM37" s="24">
        <f>AM35-AM36</f>
        <v>0</v>
      </c>
      <c r="AN37" s="15" t="e">
        <f>AM37/AM$38</f>
        <v>#DIV/0!</v>
      </c>
    </row>
    <row r="38" spans="1:44" s="7" customFormat="1" ht="15" customHeight="1" thickBot="1" x14ac:dyDescent="0.25">
      <c r="A38" s="125" t="s">
        <v>67</v>
      </c>
      <c r="B38" s="125"/>
      <c r="C38" s="201">
        <f>C34+C37</f>
        <v>1213319</v>
      </c>
      <c r="D38" s="150">
        <f>C38/C$38</f>
        <v>1</v>
      </c>
      <c r="E38" s="201">
        <f>E34+E37</f>
        <v>1173470</v>
      </c>
      <c r="F38" s="150">
        <f>E38/E$38</f>
        <v>1</v>
      </c>
      <c r="G38" s="201">
        <f>G34+G37</f>
        <v>1259419</v>
      </c>
      <c r="H38" s="150">
        <f>G38/G$38</f>
        <v>1</v>
      </c>
      <c r="I38" s="201">
        <f>I34+I37</f>
        <v>1296414</v>
      </c>
      <c r="J38" s="150">
        <f>I38/I$38</f>
        <v>1</v>
      </c>
      <c r="K38" s="126">
        <f>K34+K37</f>
        <v>1252041</v>
      </c>
      <c r="L38" s="150">
        <f>K38/K$38</f>
        <v>1</v>
      </c>
      <c r="M38" s="126">
        <f>M34+M37</f>
        <v>1094052</v>
      </c>
      <c r="N38" s="150">
        <v>1</v>
      </c>
      <c r="O38" s="126">
        <f>O34+O37</f>
        <v>976252</v>
      </c>
      <c r="P38" s="150">
        <f>O38/O$38</f>
        <v>1</v>
      </c>
      <c r="Q38" s="125" t="s">
        <v>67</v>
      </c>
      <c r="R38" s="125"/>
      <c r="S38" s="130">
        <f>S34+S37</f>
        <v>1003729.8300000001</v>
      </c>
      <c r="T38" s="151">
        <f>S38/S$38</f>
        <v>1</v>
      </c>
      <c r="U38" s="130">
        <f>U34+U37</f>
        <v>1031986.75165</v>
      </c>
      <c r="V38" s="151">
        <f>U38/U$38</f>
        <v>1</v>
      </c>
      <c r="W38" s="130">
        <f>W34+W37</f>
        <v>1061045.0066182499</v>
      </c>
      <c r="X38" s="151">
        <f>W38/W$38</f>
        <v>1</v>
      </c>
      <c r="Y38" s="130">
        <f>Y34+Y37</f>
        <v>1090927.4755460164</v>
      </c>
      <c r="Z38" s="151">
        <f>Y38/Y$38</f>
        <v>1</v>
      </c>
      <c r="AA38" s="130">
        <f>AA34+AA37</f>
        <v>1121657.696509846</v>
      </c>
      <c r="AB38" s="131">
        <v>1</v>
      </c>
      <c r="AC38" s="8">
        <f>AC34+AC37</f>
        <v>0</v>
      </c>
      <c r="AD38" s="16" t="e">
        <f>AC38/AC$38</f>
        <v>#DIV/0!</v>
      </c>
      <c r="AE38" s="8">
        <f>AE34+AE37</f>
        <v>0</v>
      </c>
      <c r="AF38" s="16" t="e">
        <f>AE38/AE$38</f>
        <v>#DIV/0!</v>
      </c>
      <c r="AG38" s="8">
        <f>AG34+AG37</f>
        <v>0</v>
      </c>
      <c r="AH38" s="16" t="e">
        <f>AG38/AG$38</f>
        <v>#DIV/0!</v>
      </c>
      <c r="AI38" s="8">
        <f>AI34+AI37</f>
        <v>0</v>
      </c>
      <c r="AJ38" s="16" t="e">
        <f>AI38/AI$38</f>
        <v>#DIV/0!</v>
      </c>
      <c r="AK38" s="8">
        <f>AK34+AK37</f>
        <v>0</v>
      </c>
      <c r="AL38" s="16" t="e">
        <f>AK38/AK$38</f>
        <v>#DIV/0!</v>
      </c>
      <c r="AM38" s="8">
        <f>AM34+AM37</f>
        <v>0</v>
      </c>
      <c r="AN38" s="16">
        <v>1</v>
      </c>
    </row>
    <row r="39" spans="1:44" s="7" customFormat="1" ht="12" customHeight="1" thickTop="1" x14ac:dyDescent="0.2">
      <c r="A39" s="35"/>
      <c r="B39" s="35"/>
      <c r="C39" s="132"/>
      <c r="D39" s="133"/>
      <c r="E39" s="132"/>
      <c r="F39" s="133"/>
      <c r="G39" s="201"/>
      <c r="H39" s="133"/>
      <c r="I39" s="201"/>
      <c r="J39" s="133"/>
      <c r="K39" s="132"/>
      <c r="L39" s="133"/>
      <c r="M39" s="132"/>
      <c r="N39" s="133"/>
      <c r="O39" s="132"/>
      <c r="P39" s="133"/>
      <c r="Q39" s="35"/>
      <c r="R39" s="35"/>
      <c r="S39" s="132"/>
      <c r="T39" s="133"/>
      <c r="U39" s="132"/>
      <c r="V39" s="133"/>
      <c r="W39" s="132"/>
      <c r="X39" s="133"/>
      <c r="Y39" s="132"/>
      <c r="Z39" s="133"/>
      <c r="AA39" s="132"/>
      <c r="AB39" s="133"/>
      <c r="AC39" s="8"/>
      <c r="AD39" s="16"/>
      <c r="AE39" s="8"/>
      <c r="AF39" s="16"/>
      <c r="AG39" s="8"/>
      <c r="AH39" s="16"/>
      <c r="AI39" s="8"/>
      <c r="AJ39" s="16"/>
      <c r="AK39" s="8"/>
      <c r="AL39" s="16"/>
      <c r="AM39" s="8"/>
      <c r="AN39" s="16"/>
    </row>
    <row r="40" spans="1:44" ht="15" customHeight="1" x14ac:dyDescent="0.2">
      <c r="A40" s="35" t="s">
        <v>64</v>
      </c>
      <c r="B40" s="34"/>
      <c r="C40" s="132">
        <f>C30-C38</f>
        <v>12798</v>
      </c>
      <c r="D40" s="115"/>
      <c r="E40" s="132">
        <f>E30-E38</f>
        <v>26420</v>
      </c>
      <c r="F40" s="134"/>
      <c r="G40" s="201">
        <f>G30-G38</f>
        <v>9650</v>
      </c>
      <c r="H40" s="134"/>
      <c r="I40" s="201">
        <f>I30-I38</f>
        <v>1694</v>
      </c>
      <c r="J40" s="134"/>
      <c r="K40" s="132">
        <f>K30-K38</f>
        <v>30764</v>
      </c>
      <c r="L40" s="134"/>
      <c r="M40" s="132">
        <f>M30-M38</f>
        <v>94522</v>
      </c>
      <c r="N40" s="134"/>
      <c r="O40" s="132">
        <f>O30-O38</f>
        <v>16118</v>
      </c>
      <c r="P40" s="115"/>
      <c r="Q40" s="35" t="s">
        <v>64</v>
      </c>
      <c r="R40" s="34"/>
      <c r="S40" s="132">
        <f>S30-S38</f>
        <v>373214.97790175001</v>
      </c>
      <c r="T40" s="134"/>
      <c r="U40" s="132">
        <f>U30-U38</f>
        <v>339494.00864106999</v>
      </c>
      <c r="V40" s="134"/>
      <c r="W40" s="132">
        <f>W30-W38</f>
        <v>327060.61523781135</v>
      </c>
      <c r="X40" s="134"/>
      <c r="Y40" s="132">
        <f>Y30-Y38</f>
        <v>308845.46376084816</v>
      </c>
      <c r="Z40" s="134"/>
      <c r="AA40" s="132">
        <f>AA30-AA38</f>
        <v>291474.49547085864</v>
      </c>
      <c r="AB40" s="134"/>
      <c r="AC40" s="8">
        <f>AC30-AC38</f>
        <v>0</v>
      </c>
      <c r="AD40" s="15"/>
      <c r="AE40" s="8">
        <f>AE30-AE38</f>
        <v>0</v>
      </c>
      <c r="AF40" s="6"/>
      <c r="AG40" s="8">
        <f>AG30-AG38</f>
        <v>0</v>
      </c>
      <c r="AH40" s="6"/>
      <c r="AI40" s="8">
        <f>AI30-AI38</f>
        <v>0</v>
      </c>
      <c r="AJ40" s="6"/>
      <c r="AK40" s="8">
        <f>AK30-AK38</f>
        <v>0</v>
      </c>
      <c r="AL40" s="6"/>
      <c r="AM40" s="8">
        <f>AM30-AM38</f>
        <v>0</v>
      </c>
      <c r="AN40" s="6"/>
    </row>
    <row r="41" spans="1:44" ht="16" customHeight="1" thickBot="1" x14ac:dyDescent="0.25">
      <c r="A41" s="35"/>
      <c r="B41" s="34"/>
      <c r="C41" s="132"/>
      <c r="D41" s="115"/>
      <c r="E41" s="132"/>
      <c r="F41" s="134"/>
      <c r="G41" s="201"/>
      <c r="H41" s="134"/>
      <c r="I41" s="201"/>
      <c r="J41" s="134"/>
      <c r="K41" s="132"/>
      <c r="L41" s="134"/>
      <c r="M41" s="132"/>
      <c r="N41" s="134"/>
      <c r="O41" s="132"/>
      <c r="P41" s="115"/>
      <c r="Q41" s="35"/>
      <c r="R41" s="48" t="s">
        <v>202</v>
      </c>
      <c r="S41" s="278">
        <f>(0.05*S30)</f>
        <v>68847.240395087501</v>
      </c>
      <c r="T41" s="134"/>
      <c r="U41" s="278">
        <f>(0.05*U30)</f>
        <v>68574.038014553502</v>
      </c>
      <c r="V41" s="134"/>
      <c r="W41" s="278">
        <f>(0.05*W30)</f>
        <v>69405.281092803067</v>
      </c>
      <c r="X41" s="134"/>
      <c r="Y41" s="278">
        <f>(0.05*Y30)</f>
        <v>69988.646965343229</v>
      </c>
      <c r="Z41" s="134"/>
      <c r="AA41" s="278">
        <f>(0.05*AA30)</f>
        <v>70656.609599035233</v>
      </c>
      <c r="AB41" s="134"/>
      <c r="AC41" s="8"/>
      <c r="AD41" s="15"/>
      <c r="AE41" s="8"/>
      <c r="AF41" s="6"/>
      <c r="AG41" s="8"/>
      <c r="AH41" s="6"/>
      <c r="AI41" s="8"/>
      <c r="AJ41" s="6"/>
      <c r="AK41" s="8"/>
      <c r="AL41" s="6"/>
      <c r="AM41" s="8"/>
      <c r="AN41" s="6"/>
    </row>
    <row r="42" spans="1:44" ht="15" customHeight="1" thickBot="1" x14ac:dyDescent="0.25">
      <c r="A42" s="35" t="s">
        <v>9</v>
      </c>
      <c r="B42" s="34"/>
      <c r="C42" s="201">
        <v>300000</v>
      </c>
      <c r="D42" s="115"/>
      <c r="E42" s="132">
        <f>C45</f>
        <v>296819</v>
      </c>
      <c r="F42" s="134"/>
      <c r="G42" s="201">
        <f>E45</f>
        <v>713626.09000000008</v>
      </c>
      <c r="H42" s="134"/>
      <c r="I42" s="201">
        <f>G45</f>
        <v>706250.09000000008</v>
      </c>
      <c r="J42" s="134"/>
      <c r="K42" s="132">
        <f>I45</f>
        <v>715223.09000000008</v>
      </c>
      <c r="L42" s="134"/>
      <c r="M42" s="132">
        <f>K45</f>
        <v>988588.09000000008</v>
      </c>
      <c r="N42" s="134"/>
      <c r="O42" s="135">
        <f>M45</f>
        <v>1095300.0900000001</v>
      </c>
      <c r="P42" s="115"/>
      <c r="Q42" s="35" t="s">
        <v>9</v>
      </c>
      <c r="R42" s="34"/>
      <c r="S42" s="132">
        <f>O45</f>
        <v>1111418.0900000001</v>
      </c>
      <c r="T42" s="134"/>
      <c r="U42" s="132">
        <f>S45</f>
        <v>1384633.0679017501</v>
      </c>
      <c r="V42" s="134"/>
      <c r="W42" s="132">
        <f>U45</f>
        <v>1724127.0765428201</v>
      </c>
      <c r="X42" s="134"/>
      <c r="Y42" s="132">
        <f>W45</f>
        <v>2051187.6917806314</v>
      </c>
      <c r="Z42" s="134"/>
      <c r="AA42" s="132">
        <f>Y45</f>
        <v>2360033.1555414796</v>
      </c>
      <c r="AB42" s="134"/>
      <c r="AC42" s="11">
        <v>0</v>
      </c>
      <c r="AD42" s="15"/>
      <c r="AE42" s="8">
        <f>AC45</f>
        <v>0</v>
      </c>
      <c r="AF42" s="6"/>
      <c r="AG42" s="8">
        <f>AE45</f>
        <v>0</v>
      </c>
      <c r="AH42" s="6"/>
      <c r="AI42" s="8">
        <f>AG45</f>
        <v>0</v>
      </c>
      <c r="AJ42" s="6"/>
      <c r="AK42" s="8">
        <f>AI45</f>
        <v>0</v>
      </c>
      <c r="AL42" s="6"/>
      <c r="AM42" s="8">
        <f>AK45</f>
        <v>0</v>
      </c>
      <c r="AN42" s="6"/>
    </row>
    <row r="43" spans="1:44" s="7" customFormat="1" ht="15" customHeight="1" thickBot="1" x14ac:dyDescent="0.25">
      <c r="A43" s="35" t="s">
        <v>65</v>
      </c>
      <c r="B43" s="35"/>
      <c r="C43" s="209">
        <v>0</v>
      </c>
      <c r="D43" s="35"/>
      <c r="E43" s="209">
        <v>0</v>
      </c>
      <c r="F43" s="35"/>
      <c r="G43" s="122">
        <f>-18026+1000</f>
        <v>-17026</v>
      </c>
      <c r="H43" s="35"/>
      <c r="I43" s="212">
        <f>-51</f>
        <v>-51</v>
      </c>
      <c r="J43" s="35"/>
      <c r="K43" s="212">
        <f>-7400+1</f>
        <v>-7399</v>
      </c>
      <c r="L43" s="35"/>
      <c r="M43" s="212">
        <f>-14810</f>
        <v>-14810</v>
      </c>
      <c r="N43" s="136"/>
      <c r="O43" s="122">
        <v>0</v>
      </c>
      <c r="P43" s="35"/>
      <c r="Q43" s="35" t="s">
        <v>65</v>
      </c>
      <c r="R43" s="35"/>
      <c r="S43" s="137">
        <v>0</v>
      </c>
      <c r="T43" s="35"/>
      <c r="U43" s="137">
        <v>0</v>
      </c>
      <c r="V43" s="35"/>
      <c r="W43" s="137">
        <v>0</v>
      </c>
      <c r="X43" s="35"/>
      <c r="Y43" s="137">
        <v>0</v>
      </c>
      <c r="Z43" s="35"/>
      <c r="AA43" s="138"/>
      <c r="AB43" s="136"/>
      <c r="AC43" s="12">
        <v>0</v>
      </c>
      <c r="AE43" s="12">
        <v>0</v>
      </c>
      <c r="AG43" s="12">
        <v>0</v>
      </c>
      <c r="AI43" s="12">
        <v>0</v>
      </c>
      <c r="AK43" s="12">
        <v>0</v>
      </c>
      <c r="AN43" s="9"/>
    </row>
    <row r="44" spans="1:44" ht="15" customHeight="1" thickBot="1" x14ac:dyDescent="0.25">
      <c r="A44" s="35" t="s">
        <v>66</v>
      </c>
      <c r="B44" s="34"/>
      <c r="C44" s="209">
        <f>-15977-2</f>
        <v>-15979</v>
      </c>
      <c r="D44" s="34"/>
      <c r="E44" s="209">
        <v>390387.09</v>
      </c>
      <c r="F44" s="34"/>
      <c r="G44" s="122">
        <v>0</v>
      </c>
      <c r="H44" s="34"/>
      <c r="I44" s="282">
        <f>7330</f>
        <v>7330</v>
      </c>
      <c r="J44" s="34"/>
      <c r="K44" s="280">
        <v>250000</v>
      </c>
      <c r="L44" s="34"/>
      <c r="M44" s="122">
        <v>27000</v>
      </c>
      <c r="N44" s="34"/>
      <c r="O44" s="122">
        <v>0</v>
      </c>
      <c r="P44" s="34"/>
      <c r="Q44" s="35" t="s">
        <v>66</v>
      </c>
      <c r="R44" s="34"/>
      <c r="S44" s="137">
        <f>'E. Output'!C41</f>
        <v>100000</v>
      </c>
      <c r="T44" s="34"/>
      <c r="U44" s="137">
        <f>'E. Output'!E41</f>
        <v>0</v>
      </c>
      <c r="V44" s="34"/>
      <c r="W44" s="137">
        <f>'E. Output'!G41</f>
        <v>0</v>
      </c>
      <c r="X44" s="34"/>
      <c r="Y44" s="137">
        <f>'E. Output'!I41</f>
        <v>0</v>
      </c>
      <c r="Z44" s="34"/>
      <c r="AA44" s="139">
        <f>'E. Output'!K41</f>
        <v>0</v>
      </c>
      <c r="AB44" s="34"/>
      <c r="AC44" s="12">
        <v>0</v>
      </c>
      <c r="AE44" s="12">
        <v>0</v>
      </c>
      <c r="AG44" s="12">
        <v>0</v>
      </c>
      <c r="AI44" s="12">
        <v>0</v>
      </c>
      <c r="AK44" s="12">
        <v>0</v>
      </c>
      <c r="AM44" s="36"/>
    </row>
    <row r="45" spans="1:44" ht="16" x14ac:dyDescent="0.2">
      <c r="A45" s="35" t="s">
        <v>10</v>
      </c>
      <c r="B45" s="35"/>
      <c r="C45" s="165">
        <f>C40+C42+C43+C44</f>
        <v>296819</v>
      </c>
      <c r="D45" s="141"/>
      <c r="E45" s="140">
        <f>E40+E42+E43+E44</f>
        <v>713626.09000000008</v>
      </c>
      <c r="F45" s="142"/>
      <c r="G45" s="140">
        <f>G40+G42+G43+G44</f>
        <v>706250.09000000008</v>
      </c>
      <c r="H45" s="142"/>
      <c r="I45" s="140">
        <f>I40+I42+I43+I44</f>
        <v>715223.09000000008</v>
      </c>
      <c r="J45" s="142"/>
      <c r="K45" s="140">
        <f>K40+K42+K43+K44</f>
        <v>988588.09000000008</v>
      </c>
      <c r="L45" s="142"/>
      <c r="M45" s="140">
        <f>M40+M42+M43+M44</f>
        <v>1095300.0900000001</v>
      </c>
      <c r="N45" s="34"/>
      <c r="O45" s="140">
        <f>O40+O42+O43+O44</f>
        <v>1111418.0900000001</v>
      </c>
      <c r="P45" s="141"/>
      <c r="Q45" s="35" t="s">
        <v>10</v>
      </c>
      <c r="R45" s="35"/>
      <c r="S45" s="140">
        <f>S40+S42+S43-S44</f>
        <v>1384633.0679017501</v>
      </c>
      <c r="T45" s="142"/>
      <c r="U45" s="140">
        <f>U40+U42+U43-U44</f>
        <v>1724127.0765428201</v>
      </c>
      <c r="V45" s="142"/>
      <c r="W45" s="140">
        <f>W40+W42+W43-W44</f>
        <v>2051187.6917806314</v>
      </c>
      <c r="X45" s="142"/>
      <c r="Y45" s="140">
        <f>Y40+Y42+Y43-Y44</f>
        <v>2360033.1555414796</v>
      </c>
      <c r="Z45" s="142"/>
      <c r="AA45" s="140">
        <f>AA40+AA42+AA43-AA44</f>
        <v>2651507.6510123382</v>
      </c>
      <c r="AB45" s="34"/>
      <c r="AC45" s="30">
        <f>AC40+AC42+AC43+AC44</f>
        <v>0</v>
      </c>
      <c r="AD45" s="31"/>
      <c r="AE45" s="30">
        <f>AE40+AE42+AE43+AE44</f>
        <v>0</v>
      </c>
      <c r="AF45" s="32"/>
      <c r="AG45" s="30">
        <f>AG40+AG42+AG43+AG44</f>
        <v>0</v>
      </c>
      <c r="AH45" s="32"/>
      <c r="AI45" s="30">
        <f>AI40+AI42+AI43+AI44</f>
        <v>0</v>
      </c>
      <c r="AJ45" s="32"/>
      <c r="AK45" s="30">
        <f>AK40+AK42+AK43+AK44</f>
        <v>0</v>
      </c>
      <c r="AL45" s="32"/>
      <c r="AM45" s="30">
        <f>AM40+AM42+AM43+AM44</f>
        <v>0</v>
      </c>
    </row>
    <row r="46" spans="1:44" ht="26" x14ac:dyDescent="0.4">
      <c r="A46" s="35"/>
      <c r="B46" s="35"/>
      <c r="C46" s="187" t="str">
        <f>Setup!B6&amp;" Membership History"</f>
        <v>Sample Council- #0325 Membership History</v>
      </c>
      <c r="D46" s="141"/>
      <c r="E46" s="140"/>
      <c r="F46" s="142"/>
      <c r="G46" s="140"/>
      <c r="H46" s="142"/>
      <c r="I46" s="140"/>
      <c r="J46" s="142"/>
      <c r="K46" s="140"/>
      <c r="L46" s="142"/>
      <c r="M46" s="140"/>
      <c r="N46" s="34"/>
      <c r="O46" s="140"/>
      <c r="P46" s="141"/>
      <c r="Q46" s="35"/>
      <c r="R46" s="35"/>
      <c r="S46" s="187" t="str">
        <f>Setup!B6&amp;" Membership Plan"</f>
        <v>Sample Council- #0325 Membership Plan</v>
      </c>
      <c r="T46" s="142"/>
      <c r="U46" s="140"/>
      <c r="V46" s="142"/>
      <c r="W46" s="140"/>
      <c r="X46" s="142"/>
      <c r="Y46" s="140"/>
      <c r="Z46" s="142"/>
      <c r="AA46" s="140"/>
      <c r="AB46" s="34"/>
      <c r="AC46" s="30"/>
      <c r="AD46" s="31"/>
      <c r="AE46" s="30"/>
      <c r="AF46" s="32"/>
      <c r="AG46" s="30"/>
      <c r="AH46" s="32"/>
      <c r="AI46" s="30"/>
      <c r="AJ46" s="32"/>
      <c r="AK46" s="30"/>
      <c r="AL46" s="32"/>
      <c r="AM46" s="30"/>
    </row>
    <row r="47" spans="1:44" ht="16" x14ac:dyDescent="0.2">
      <c r="A47" s="35"/>
      <c r="B47" s="35"/>
      <c r="C47" s="43"/>
      <c r="D47" s="141"/>
      <c r="E47" s="43">
        <f>E4</f>
        <v>2017</v>
      </c>
      <c r="F47" s="43"/>
      <c r="G47" s="43">
        <f>G4</f>
        <v>2018</v>
      </c>
      <c r="H47" s="43"/>
      <c r="I47" s="43">
        <f>I4</f>
        <v>2019</v>
      </c>
      <c r="J47" s="43"/>
      <c r="K47" s="43">
        <f>K4</f>
        <v>2020</v>
      </c>
      <c r="L47" s="43"/>
      <c r="M47" s="43">
        <f>M4</f>
        <v>2021</v>
      </c>
      <c r="N47" s="43"/>
      <c r="O47" s="43">
        <f>O4</f>
        <v>2022</v>
      </c>
      <c r="P47" s="141"/>
      <c r="Q47" s="35"/>
      <c r="R47" s="35"/>
      <c r="S47" s="43">
        <f>S4</f>
        <v>2023</v>
      </c>
      <c r="T47" s="43"/>
      <c r="U47" s="43">
        <f>U4</f>
        <v>2024</v>
      </c>
      <c r="V47" s="43"/>
      <c r="W47" s="43">
        <f>W4</f>
        <v>2025</v>
      </c>
      <c r="X47" s="43"/>
      <c r="Y47" s="43">
        <f>Y4</f>
        <v>2026</v>
      </c>
      <c r="Z47" s="43"/>
      <c r="AA47" s="43">
        <f>AA4</f>
        <v>2027</v>
      </c>
      <c r="AB47" s="34"/>
      <c r="AC47" s="30"/>
      <c r="AD47" s="31"/>
      <c r="AE47" s="30"/>
      <c r="AF47" s="32"/>
      <c r="AG47" s="30"/>
      <c r="AH47" s="32"/>
      <c r="AI47" s="30"/>
      <c r="AJ47" s="32"/>
      <c r="AK47" s="30"/>
      <c r="AL47" s="32"/>
      <c r="AM47" s="30"/>
    </row>
    <row r="48" spans="1:44" ht="16" customHeight="1" x14ac:dyDescent="0.2">
      <c r="A48" s="34"/>
      <c r="B48" s="34"/>
      <c r="C48" s="50"/>
      <c r="D48" s="34"/>
      <c r="E48" s="184" t="s">
        <v>96</v>
      </c>
      <c r="F48" s="146"/>
      <c r="G48" s="184" t="s">
        <v>96</v>
      </c>
      <c r="H48" s="146" t="s">
        <v>31</v>
      </c>
      <c r="I48" s="184" t="s">
        <v>96</v>
      </c>
      <c r="J48" s="146" t="s">
        <v>31</v>
      </c>
      <c r="K48" s="184" t="s">
        <v>96</v>
      </c>
      <c r="L48" s="146" t="s">
        <v>31</v>
      </c>
      <c r="M48" s="184" t="s">
        <v>96</v>
      </c>
      <c r="N48" s="146" t="s">
        <v>31</v>
      </c>
      <c r="O48" s="184" t="s">
        <v>97</v>
      </c>
      <c r="P48" s="173" t="s">
        <v>31</v>
      </c>
      <c r="Q48" s="34"/>
      <c r="R48" s="34"/>
      <c r="S48" s="112" t="s">
        <v>131</v>
      </c>
      <c r="T48" s="146" t="s">
        <v>31</v>
      </c>
      <c r="U48" s="112" t="s">
        <v>131</v>
      </c>
      <c r="V48" s="146" t="s">
        <v>31</v>
      </c>
      <c r="W48" s="112" t="s">
        <v>131</v>
      </c>
      <c r="X48" s="146" t="s">
        <v>31</v>
      </c>
      <c r="Y48" s="112" t="s">
        <v>131</v>
      </c>
      <c r="Z48" s="146" t="s">
        <v>31</v>
      </c>
      <c r="AA48" s="112" t="s">
        <v>131</v>
      </c>
      <c r="AB48" s="34"/>
    </row>
    <row r="49" spans="1:28" ht="16" customHeight="1" x14ac:dyDescent="0.2">
      <c r="A49" s="35" t="s">
        <v>133</v>
      </c>
      <c r="B49" s="34"/>
      <c r="D49" s="143"/>
      <c r="E49" s="143"/>
      <c r="F49" s="174"/>
      <c r="G49" s="143"/>
      <c r="H49" s="174" t="s">
        <v>144</v>
      </c>
      <c r="I49" s="143"/>
      <c r="J49" s="174" t="s">
        <v>144</v>
      </c>
      <c r="K49" s="143"/>
      <c r="L49" s="174" t="s">
        <v>144</v>
      </c>
      <c r="M49" s="144"/>
      <c r="N49" s="174" t="s">
        <v>144</v>
      </c>
      <c r="O49" s="34"/>
      <c r="P49" s="174" t="s">
        <v>144</v>
      </c>
      <c r="Q49" s="35" t="s">
        <v>133</v>
      </c>
      <c r="R49" s="34"/>
      <c r="S49" s="34"/>
      <c r="T49" s="174" t="s">
        <v>144</v>
      </c>
      <c r="U49" s="34"/>
      <c r="V49" s="174" t="s">
        <v>144</v>
      </c>
      <c r="W49" s="34"/>
      <c r="X49" s="174" t="s">
        <v>144</v>
      </c>
      <c r="Y49" s="34"/>
      <c r="Z49" s="174" t="s">
        <v>144</v>
      </c>
      <c r="AA49" s="34"/>
      <c r="AB49" s="34"/>
    </row>
    <row r="50" spans="1:28" ht="16" customHeight="1" x14ac:dyDescent="0.2">
      <c r="A50" s="34"/>
      <c r="B50" s="34" t="s">
        <v>137</v>
      </c>
      <c r="C50"/>
      <c r="D50" s="34"/>
      <c r="E50" s="153">
        <f>'Membership History and Planning'!C10</f>
        <v>2435</v>
      </c>
      <c r="F50" s="175"/>
      <c r="G50" s="153">
        <f>'Membership History and Planning'!D10</f>
        <v>2380</v>
      </c>
      <c r="H50" s="175">
        <f t="shared" ref="H50:H55" si="19">(G50/E50-1)</f>
        <v>-2.2587268993839782E-2</v>
      </c>
      <c r="I50" s="153">
        <f>'Membership History and Planning'!E10</f>
        <v>2401</v>
      </c>
      <c r="J50" s="175">
        <f t="shared" ref="J50:J55" si="20">(I50/G50-1)</f>
        <v>8.8235294117646745E-3</v>
      </c>
      <c r="K50" s="153">
        <f>'Membership History and Planning'!F10</f>
        <v>2116</v>
      </c>
      <c r="L50" s="175">
        <f t="shared" ref="L50:L55" si="21">(K50/I50-1)</f>
        <v>-0.11870054144106623</v>
      </c>
      <c r="M50" s="153">
        <f>'Membership History and Planning'!G10</f>
        <v>1300</v>
      </c>
      <c r="N50" s="170">
        <f t="shared" ref="N50:N55" si="22">(M50/K50-1)</f>
        <v>-0.38563327032136108</v>
      </c>
      <c r="O50" s="153">
        <f>'Membership History and Planning'!K10</f>
        <v>1320</v>
      </c>
      <c r="P50" s="170">
        <f t="shared" ref="P50:P55" si="23">(O50/M50-1)</f>
        <v>1.538461538461533E-2</v>
      </c>
      <c r="Q50" s="34"/>
      <c r="R50" s="34" t="s">
        <v>137</v>
      </c>
      <c r="S50" s="153">
        <f>'Membership History and Planning'!Q10</f>
        <v>1332</v>
      </c>
      <c r="T50" s="170">
        <f t="shared" ref="T50:T55" si="24">(S50/O50-1)</f>
        <v>9.0909090909090384E-3</v>
      </c>
      <c r="U50" s="153">
        <f>'Membership History and Planning'!U10</f>
        <v>1344</v>
      </c>
      <c r="V50" s="170">
        <f t="shared" ref="V50:V55" si="25">(U50/S50-1)</f>
        <v>9.009009009008917E-3</v>
      </c>
      <c r="W50" s="153">
        <f>'Membership History and Planning'!Y10</f>
        <v>1356</v>
      </c>
      <c r="X50" s="170">
        <f t="shared" ref="X50:X55" si="26">(W50/U50-1)</f>
        <v>8.9285714285713969E-3</v>
      </c>
      <c r="Y50" s="153">
        <f>'Membership History and Planning'!AC10</f>
        <v>1368</v>
      </c>
      <c r="Z50" s="170">
        <f t="shared" ref="Z50:Z55" si="27">(Y50/W50-1)</f>
        <v>8.8495575221239076E-3</v>
      </c>
      <c r="AA50" s="153">
        <f>'Membership History and Planning'!AG10</f>
        <v>1380</v>
      </c>
      <c r="AB50" s="34"/>
    </row>
    <row r="51" spans="1:28" ht="16" customHeight="1" x14ac:dyDescent="0.2">
      <c r="A51" s="34"/>
      <c r="B51" s="34" t="s">
        <v>136</v>
      </c>
      <c r="C51"/>
      <c r="D51" s="34"/>
      <c r="E51" s="153">
        <f>'Membership History and Planning'!C12</f>
        <v>2422</v>
      </c>
      <c r="F51" s="175"/>
      <c r="G51" s="153">
        <f>'Membership History and Planning'!D12</f>
        <v>2413</v>
      </c>
      <c r="H51" s="175">
        <f t="shared" si="19"/>
        <v>-3.7159372419488523E-3</v>
      </c>
      <c r="I51" s="153">
        <f>'Membership History and Planning'!E12</f>
        <v>2377</v>
      </c>
      <c r="J51" s="175">
        <f t="shared" si="20"/>
        <v>-1.4919187733112294E-2</v>
      </c>
      <c r="K51" s="153">
        <f>'Membership History and Planning'!F12</f>
        <v>2245</v>
      </c>
      <c r="L51" s="175">
        <f t="shared" si="21"/>
        <v>-5.5532183424484627E-2</v>
      </c>
      <c r="M51" s="153">
        <f>'Membership History and Planning'!G12</f>
        <v>1400</v>
      </c>
      <c r="N51" s="170">
        <f t="shared" si="22"/>
        <v>-0.37639198218262804</v>
      </c>
      <c r="O51" s="153">
        <f>'Membership History and Planning'!K12</f>
        <v>1418</v>
      </c>
      <c r="P51" s="170">
        <f t="shared" si="23"/>
        <v>1.28571428571429E-2</v>
      </c>
      <c r="Q51" s="34"/>
      <c r="R51" s="34" t="s">
        <v>136</v>
      </c>
      <c r="S51" s="153">
        <f>'Membership History and Planning'!Q12</f>
        <v>1430</v>
      </c>
      <c r="T51" s="170">
        <f t="shared" si="24"/>
        <v>8.4626234132580969E-3</v>
      </c>
      <c r="U51" s="153">
        <f>'Membership History and Planning'!U12</f>
        <v>1442</v>
      </c>
      <c r="V51" s="170">
        <f t="shared" si="25"/>
        <v>8.3916083916084627E-3</v>
      </c>
      <c r="W51" s="153">
        <f>'Membership History and Planning'!Y12</f>
        <v>1454</v>
      </c>
      <c r="X51" s="170">
        <f t="shared" si="26"/>
        <v>8.3217753120665705E-3</v>
      </c>
      <c r="Y51" s="153">
        <f>'Membership History and Planning'!AC12</f>
        <v>1466</v>
      </c>
      <c r="Z51" s="170">
        <f t="shared" si="27"/>
        <v>8.2530949105914519E-3</v>
      </c>
      <c r="AA51" s="153">
        <f>'Membership History and Planning'!AG12</f>
        <v>1478</v>
      </c>
      <c r="AB51" s="34"/>
    </row>
    <row r="52" spans="1:28" ht="16" customHeight="1" x14ac:dyDescent="0.2">
      <c r="A52" s="34"/>
      <c r="B52" s="34" t="s">
        <v>109</v>
      </c>
      <c r="C52"/>
      <c r="D52" s="34"/>
      <c r="E52" s="153">
        <f>'Membership History and Planning'!C14</f>
        <v>1159</v>
      </c>
      <c r="F52" s="175"/>
      <c r="G52" s="153">
        <f>'Membership History and Planning'!D14</f>
        <v>982</v>
      </c>
      <c r="H52" s="175">
        <f t="shared" si="19"/>
        <v>-0.15271786022433131</v>
      </c>
      <c r="I52" s="153">
        <f>'Membership History and Planning'!E14</f>
        <v>1014</v>
      </c>
      <c r="J52" s="175">
        <f t="shared" si="20"/>
        <v>3.2586558044806591E-2</v>
      </c>
      <c r="K52" s="153">
        <f>'Membership History and Planning'!F14</f>
        <v>563</v>
      </c>
      <c r="L52" s="175">
        <f t="shared" si="21"/>
        <v>-0.44477317554240636</v>
      </c>
      <c r="M52" s="153">
        <f>'Membership History and Planning'!G14</f>
        <v>300</v>
      </c>
      <c r="N52" s="170">
        <f t="shared" si="22"/>
        <v>-0.46714031971580816</v>
      </c>
      <c r="O52" s="153">
        <f>'Membership History and Planning'!K14</f>
        <v>324</v>
      </c>
      <c r="P52" s="170">
        <f t="shared" si="23"/>
        <v>8.0000000000000071E-2</v>
      </c>
      <c r="Q52" s="34"/>
      <c r="R52" s="34" t="s">
        <v>109</v>
      </c>
      <c r="S52" s="153">
        <f>'Membership History and Planning'!Q14</f>
        <v>333</v>
      </c>
      <c r="T52" s="170">
        <f t="shared" si="24"/>
        <v>2.7777777777777679E-2</v>
      </c>
      <c r="U52" s="153">
        <f>'Membership History and Planning'!U14</f>
        <v>342</v>
      </c>
      <c r="V52" s="170">
        <f t="shared" si="25"/>
        <v>2.7027027027026973E-2</v>
      </c>
      <c r="W52" s="153">
        <f>'Membership History and Planning'!Y14</f>
        <v>351</v>
      </c>
      <c r="X52" s="170">
        <f t="shared" si="26"/>
        <v>2.6315789473684292E-2</v>
      </c>
      <c r="Y52" s="153">
        <f>'Membership History and Planning'!AC14</f>
        <v>360</v>
      </c>
      <c r="Z52" s="170">
        <f t="shared" si="27"/>
        <v>2.564102564102555E-2</v>
      </c>
      <c r="AA52" s="153">
        <f>'Membership History and Planning'!AG14</f>
        <v>369</v>
      </c>
      <c r="AB52" s="34"/>
    </row>
    <row r="53" spans="1:28" ht="16" customHeight="1" x14ac:dyDescent="0.2">
      <c r="A53" s="34"/>
      <c r="B53" s="118" t="s">
        <v>134</v>
      </c>
      <c r="C53" s="155"/>
      <c r="D53" s="156"/>
      <c r="E53" s="157">
        <f>'Membership History and Planning'!C15</f>
        <v>6016</v>
      </c>
      <c r="F53" s="175"/>
      <c r="G53" s="157">
        <f>'Membership History and Planning'!D15</f>
        <v>5775</v>
      </c>
      <c r="H53" s="175">
        <f t="shared" si="19"/>
        <v>-4.0059840425531901E-2</v>
      </c>
      <c r="I53" s="157">
        <f>'Membership History and Planning'!E15</f>
        <v>5792</v>
      </c>
      <c r="J53" s="175">
        <f t="shared" si="20"/>
        <v>2.9437229437230261E-3</v>
      </c>
      <c r="K53" s="157">
        <f>'Membership History and Planning'!F15</f>
        <v>4924</v>
      </c>
      <c r="L53" s="175">
        <f t="shared" si="21"/>
        <v>-0.14986187845303867</v>
      </c>
      <c r="M53" s="157">
        <f>'Membership History and Planning'!G15</f>
        <v>3000</v>
      </c>
      <c r="N53" s="175">
        <f t="shared" si="22"/>
        <v>-0.39073923639317631</v>
      </c>
      <c r="O53" s="157">
        <f>'Membership History and Planning'!K15</f>
        <v>3062</v>
      </c>
      <c r="P53" s="175">
        <f t="shared" si="23"/>
        <v>2.0666666666666611E-2</v>
      </c>
      <c r="Q53" s="34"/>
      <c r="R53" s="118" t="s">
        <v>134</v>
      </c>
      <c r="S53" s="157">
        <f>'Membership History and Planning'!Q15</f>
        <v>3095</v>
      </c>
      <c r="T53" s="175">
        <f t="shared" si="24"/>
        <v>1.0777269758327934E-2</v>
      </c>
      <c r="U53" s="157">
        <f>'Membership History and Planning'!U15</f>
        <v>3128</v>
      </c>
      <c r="V53" s="175">
        <f t="shared" si="25"/>
        <v>1.0662358642972602E-2</v>
      </c>
      <c r="W53" s="157">
        <f>'Membership History and Planning'!Y15</f>
        <v>3161</v>
      </c>
      <c r="X53" s="175">
        <f t="shared" si="26"/>
        <v>1.0549872122762149E-2</v>
      </c>
      <c r="Y53" s="157">
        <f>'Membership History and Planning'!AC15</f>
        <v>3194</v>
      </c>
      <c r="Z53" s="175">
        <f t="shared" si="27"/>
        <v>1.0439734261309619E-2</v>
      </c>
      <c r="AA53" s="157">
        <f>'Membership History and Planning'!AG15</f>
        <v>3227</v>
      </c>
      <c r="AB53" s="34"/>
    </row>
    <row r="54" spans="1:28" ht="16" customHeight="1" x14ac:dyDescent="0.2">
      <c r="A54" s="34"/>
      <c r="B54" s="34" t="s">
        <v>110</v>
      </c>
      <c r="C54"/>
      <c r="D54" s="34"/>
      <c r="E54" s="153">
        <f>'Membership History and Planning'!C16</f>
        <v>517</v>
      </c>
      <c r="F54" s="171"/>
      <c r="G54" s="153">
        <f>'Membership History and Planning'!D16</f>
        <v>613</v>
      </c>
      <c r="H54" s="171">
        <f t="shared" si="19"/>
        <v>0.18568665377176008</v>
      </c>
      <c r="I54" s="153">
        <f>'Membership History and Planning'!E16</f>
        <v>700</v>
      </c>
      <c r="J54" s="171">
        <f t="shared" si="20"/>
        <v>0.1419249592169658</v>
      </c>
      <c r="K54" s="153">
        <f>'Membership History and Planning'!F16</f>
        <v>527</v>
      </c>
      <c r="L54" s="171">
        <f t="shared" si="21"/>
        <v>-0.24714285714285711</v>
      </c>
      <c r="M54" s="153">
        <f>'Membership History and Planning'!G16</f>
        <v>275</v>
      </c>
      <c r="N54" s="171">
        <f t="shared" si="22"/>
        <v>-0.4781783681214421</v>
      </c>
      <c r="O54" s="153">
        <f>'Membership History and Planning'!K16</f>
        <v>276</v>
      </c>
      <c r="P54" s="171">
        <f t="shared" si="23"/>
        <v>3.6363636363636598E-3</v>
      </c>
      <c r="Q54" s="34"/>
      <c r="R54" s="34" t="s">
        <v>110</v>
      </c>
      <c r="S54" s="153">
        <f>'Membership History and Planning'!Q16</f>
        <v>277</v>
      </c>
      <c r="T54" s="171">
        <f t="shared" si="24"/>
        <v>3.6231884057971175E-3</v>
      </c>
      <c r="U54" s="153">
        <f>'Membership History and Planning'!U16</f>
        <v>278</v>
      </c>
      <c r="V54" s="171">
        <f t="shared" si="25"/>
        <v>3.6101083032491488E-3</v>
      </c>
      <c r="W54" s="153">
        <f>'Membership History and Planning'!Y16</f>
        <v>279</v>
      </c>
      <c r="X54" s="171">
        <f t="shared" si="26"/>
        <v>3.597122302158251E-3</v>
      </c>
      <c r="Y54" s="153">
        <f>'Membership History and Planning'!AC16</f>
        <v>280</v>
      </c>
      <c r="Z54" s="171">
        <f t="shared" si="27"/>
        <v>3.5842293906809264E-3</v>
      </c>
      <c r="AA54" s="153">
        <f>'Membership History and Planning'!AG16</f>
        <v>281</v>
      </c>
      <c r="AB54" s="34"/>
    </row>
    <row r="55" spans="1:28" ht="16" customHeight="1" x14ac:dyDescent="0.2">
      <c r="A55" s="34"/>
      <c r="B55" s="118" t="s">
        <v>135</v>
      </c>
      <c r="C55" s="155"/>
      <c r="D55" s="156"/>
      <c r="E55" s="157">
        <f>'Membership History and Planning'!C17</f>
        <v>6533</v>
      </c>
      <c r="F55" s="175"/>
      <c r="G55" s="157">
        <f>'Membership History and Planning'!D17</f>
        <v>6388</v>
      </c>
      <c r="H55" s="175">
        <f t="shared" si="19"/>
        <v>-2.2195009949487199E-2</v>
      </c>
      <c r="I55" s="157">
        <f>'Membership History and Planning'!E17</f>
        <v>6492</v>
      </c>
      <c r="J55" s="175">
        <f t="shared" si="20"/>
        <v>1.6280525986224204E-2</v>
      </c>
      <c r="K55" s="157">
        <f>'Membership History and Planning'!F17</f>
        <v>5451</v>
      </c>
      <c r="L55" s="175">
        <f t="shared" si="21"/>
        <v>-0.16035120147874304</v>
      </c>
      <c r="M55" s="157">
        <f>'Membership History and Planning'!G17</f>
        <v>3275</v>
      </c>
      <c r="N55" s="175">
        <f t="shared" si="22"/>
        <v>-0.39919280865896167</v>
      </c>
      <c r="O55" s="157">
        <f>'Membership History and Planning'!K17</f>
        <v>3338</v>
      </c>
      <c r="P55" s="175">
        <f t="shared" si="23"/>
        <v>1.9236641221374029E-2</v>
      </c>
      <c r="Q55" s="34"/>
      <c r="R55" s="118" t="s">
        <v>135</v>
      </c>
      <c r="S55" s="157">
        <f>'Membership History and Planning'!Q17</f>
        <v>3372</v>
      </c>
      <c r="T55" s="175">
        <f t="shared" si="24"/>
        <v>1.0185739964050367E-2</v>
      </c>
      <c r="U55" s="157">
        <f>'Membership History and Planning'!U17</f>
        <v>3406</v>
      </c>
      <c r="V55" s="175">
        <f t="shared" si="25"/>
        <v>1.0083036773428145E-2</v>
      </c>
      <c r="W55" s="157">
        <f>'Membership History and Planning'!Y17</f>
        <v>3440</v>
      </c>
      <c r="X55" s="175">
        <f t="shared" si="26"/>
        <v>9.9823840281856313E-3</v>
      </c>
      <c r="Y55" s="157">
        <f>'Membership History and Planning'!AC17</f>
        <v>3474</v>
      </c>
      <c r="Z55" s="175">
        <f t="shared" si="27"/>
        <v>9.8837209302324869E-3</v>
      </c>
      <c r="AA55" s="157">
        <f>'Membership History and Planning'!AG17</f>
        <v>3508</v>
      </c>
      <c r="AB55" s="34"/>
    </row>
    <row r="56" spans="1:28" ht="16" customHeight="1" x14ac:dyDescent="0.2">
      <c r="A56" s="34"/>
      <c r="B56" s="35"/>
      <c r="C56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48" t="s">
        <v>217</v>
      </c>
      <c r="S56" s="47">
        <f>'Membership History and Planning'!Q19</f>
        <v>1102</v>
      </c>
      <c r="T56" s="34"/>
      <c r="U56" s="47">
        <f>'Membership History and Planning'!U19</f>
        <v>1103</v>
      </c>
      <c r="V56" s="34"/>
      <c r="W56" s="47">
        <f>'Membership History and Planning'!Y19</f>
        <v>1104</v>
      </c>
      <c r="X56" s="47"/>
      <c r="Y56" s="47">
        <f>'Membership History and Planning'!AC19</f>
        <v>1105</v>
      </c>
      <c r="Z56" s="47"/>
      <c r="AA56" s="47">
        <f>'Membership History and Planning'!AG19</f>
        <v>1106</v>
      </c>
      <c r="AB56" s="34"/>
    </row>
    <row r="57" spans="1:28" ht="16" customHeight="1" x14ac:dyDescent="0.2">
      <c r="A57" s="34"/>
      <c r="B57" s="34"/>
      <c r="C57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</row>
    <row r="58" spans="1:28" ht="16" customHeight="1" x14ac:dyDescent="0.2">
      <c r="A58" s="34"/>
      <c r="B58" s="158" t="s">
        <v>141</v>
      </c>
      <c r="C58" s="159"/>
      <c r="D58" s="160"/>
      <c r="E58" s="203">
        <f>'Membership History and Planning'!C23</f>
        <v>50.604222074468083</v>
      </c>
      <c r="F58" s="203"/>
      <c r="G58" s="203">
        <f>'Membership History and Planning'!D23</f>
        <v>42.790303030303029</v>
      </c>
      <c r="H58" s="203"/>
      <c r="I58" s="203">
        <f>'Membership History and Planning'!E23</f>
        <v>44.460117403314918</v>
      </c>
      <c r="J58" s="203"/>
      <c r="K58" s="203">
        <f>'Membership History and Planning'!F23</f>
        <v>43.878350934199837</v>
      </c>
      <c r="L58" s="203"/>
      <c r="M58" s="203">
        <f>'Membership History and Planning'!G23</f>
        <v>89.057666666666663</v>
      </c>
      <c r="N58" s="203"/>
      <c r="O58" s="203">
        <f>'Membership History and Planning'!K23</f>
        <v>32.65839320705421</v>
      </c>
      <c r="P58" s="161"/>
      <c r="Q58" s="34"/>
      <c r="R58" s="158" t="s">
        <v>141</v>
      </c>
      <c r="S58" s="161">
        <f>'Membership History and Planning'!Q23</f>
        <v>33.279483037156702</v>
      </c>
      <c r="T58" s="161"/>
      <c r="U58" s="161">
        <f>'Membership History and Planning'!U23</f>
        <v>33.916240409207163</v>
      </c>
      <c r="V58" s="161"/>
      <c r="W58" s="161">
        <f>'Membership History and Planning'!Y23</f>
        <v>34.569028788358111</v>
      </c>
      <c r="X58" s="161"/>
      <c r="Y58" s="161">
        <f>'Membership History and Planning'!AC23</f>
        <v>35.238221978710079</v>
      </c>
      <c r="Z58" s="161"/>
      <c r="AA58" s="161">
        <f>'Membership History and Planning'!AG23</f>
        <v>35.924204347691351</v>
      </c>
      <c r="AB58" s="34"/>
    </row>
    <row r="59" spans="1:28" ht="16" customHeight="1" x14ac:dyDescent="0.2">
      <c r="A59" s="34"/>
      <c r="B59" s="162" t="s">
        <v>140</v>
      </c>
      <c r="C59" s="163"/>
      <c r="D59" s="164"/>
      <c r="E59" s="204">
        <f>'Membership History and Planning'!C24</f>
        <v>91.750332446808514</v>
      </c>
      <c r="F59" s="204"/>
      <c r="G59" s="204">
        <f>'Membership History and Planning'!D24</f>
        <v>89.661645021645015</v>
      </c>
      <c r="H59" s="204"/>
      <c r="I59" s="204">
        <f>'Membership History and Planning'!E24</f>
        <v>96.583563535911608</v>
      </c>
      <c r="J59" s="204"/>
      <c r="K59" s="204">
        <f>'Membership History and Planning'!F24</f>
        <v>113.7055239642567</v>
      </c>
      <c r="L59" s="204"/>
      <c r="M59" s="204">
        <f>'Membership History and Planning'!G24</f>
        <v>152.50666666666666</v>
      </c>
      <c r="N59" s="204"/>
      <c r="O59" s="204">
        <f>'Membership History and Planning'!K24</f>
        <v>132.23383409536251</v>
      </c>
      <c r="P59" s="165"/>
      <c r="Q59" s="34"/>
      <c r="R59" s="162" t="s">
        <v>140</v>
      </c>
      <c r="S59" s="165">
        <f>'Membership History and Planning'!Q24</f>
        <v>132.23812600969305</v>
      </c>
      <c r="T59" s="165"/>
      <c r="U59" s="165">
        <f>'Membership History and Planning'!U24</f>
        <v>132.28430626598467</v>
      </c>
      <c r="V59" s="165"/>
      <c r="W59" s="165">
        <f>'Membership History and Planning'!Y24</f>
        <v>132.37230917431194</v>
      </c>
      <c r="X59" s="165"/>
      <c r="Y59" s="165">
        <f>'Membership History and Planning'!AC24</f>
        <v>132.50210875986224</v>
      </c>
      <c r="Z59" s="165"/>
      <c r="AA59" s="165">
        <f>'Membership History and Planning'!AG24</f>
        <v>132.67371783091727</v>
      </c>
      <c r="AB59" s="34"/>
    </row>
    <row r="60" spans="1:28" ht="16" customHeight="1" x14ac:dyDescent="0.2">
      <c r="A60" s="34"/>
      <c r="B60" s="162" t="s">
        <v>139</v>
      </c>
      <c r="C60" s="163"/>
      <c r="D60" s="164"/>
      <c r="E60" s="204">
        <f>'Membership History and Planning'!C25</f>
        <v>199.44980053191489</v>
      </c>
      <c r="F60" s="204"/>
      <c r="G60" s="204">
        <f>'Membership History and Planning'!D25</f>
        <v>219.7522077922078</v>
      </c>
      <c r="H60" s="204"/>
      <c r="I60" s="204">
        <f>'Membership History and Planning'!E25</f>
        <v>224.12085635359117</v>
      </c>
      <c r="J60" s="204"/>
      <c r="K60" s="204">
        <f>'Membership History and Planning'!F25</f>
        <v>260.52091795288385</v>
      </c>
      <c r="L60" s="204"/>
      <c r="M60" s="204">
        <f>'Membership History and Planning'!G25</f>
        <v>396.19133333333332</v>
      </c>
      <c r="N60" s="204"/>
      <c r="O60" s="204">
        <f>'Membership History and Planning'!K25</f>
        <v>324.09209666884391</v>
      </c>
      <c r="P60" s="165"/>
      <c r="Q60" s="34"/>
      <c r="R60" s="162" t="s">
        <v>139</v>
      </c>
      <c r="S60" s="165">
        <f>'Membership History and Planning'!Q25</f>
        <v>444.89331434628434</v>
      </c>
      <c r="T60" s="165"/>
      <c r="U60" s="165">
        <f>'Membership History and Planning'!U25</f>
        <v>438.45292848179986</v>
      </c>
      <c r="V60" s="165"/>
      <c r="W60" s="165">
        <f>'Membership History and Planning'!Y25</f>
        <v>439.1349642062832</v>
      </c>
      <c r="X60" s="165"/>
      <c r="Y60" s="165">
        <f>'Membership History and Planning'!AC25</f>
        <v>438.25076371536147</v>
      </c>
      <c r="Z60" s="165"/>
      <c r="AA60" s="165">
        <f>'Membership History and Planning'!AG25</f>
        <v>437.90895320133393</v>
      </c>
      <c r="AB60" s="34"/>
    </row>
    <row r="61" spans="1:28" ht="16" customHeight="1" x14ac:dyDescent="0.2">
      <c r="A61" s="34"/>
      <c r="B61" s="162"/>
      <c r="C61" s="163"/>
      <c r="D61" s="164"/>
      <c r="E61" s="204"/>
      <c r="F61" s="204"/>
      <c r="G61" s="204"/>
      <c r="H61" s="204"/>
      <c r="I61" s="204"/>
      <c r="J61" s="204"/>
      <c r="K61" s="204"/>
      <c r="L61" s="204"/>
      <c r="M61" s="204"/>
      <c r="N61" s="204"/>
      <c r="O61" s="204"/>
      <c r="P61" s="165"/>
      <c r="Q61" s="34"/>
      <c r="R61" s="162"/>
      <c r="S61" s="165"/>
      <c r="T61" s="165"/>
      <c r="U61" s="165"/>
      <c r="V61" s="165"/>
      <c r="W61" s="165"/>
      <c r="X61" s="165"/>
      <c r="Y61" s="165"/>
      <c r="Z61" s="165"/>
      <c r="AA61" s="165"/>
      <c r="AB61" s="34"/>
    </row>
    <row r="62" spans="1:28" ht="16" customHeight="1" x14ac:dyDescent="0.2">
      <c r="A62" s="34"/>
      <c r="B62" s="162" t="s">
        <v>142</v>
      </c>
      <c r="C62" s="163"/>
      <c r="D62" s="164"/>
      <c r="E62" s="204">
        <f>'Membership History and Planning'!C27</f>
        <v>108.74119015957447</v>
      </c>
      <c r="F62" s="204"/>
      <c r="G62" s="204">
        <f>'Membership History and Planning'!D27</f>
        <v>115.44658008658008</v>
      </c>
      <c r="H62" s="204"/>
      <c r="I62" s="204">
        <f>'Membership History and Planning'!E27</f>
        <v>123.82803867403315</v>
      </c>
      <c r="J62" s="204"/>
      <c r="K62" s="204">
        <f>'Membership History and Planning'!F27</f>
        <v>133.17810722989441</v>
      </c>
      <c r="L62" s="204"/>
      <c r="M62" s="204">
        <f>'Membership History and Planning'!G27</f>
        <v>187.97300000000001</v>
      </c>
      <c r="N62" s="204"/>
      <c r="O62" s="204">
        <f>'Membership History and Planning'!K27</f>
        <v>200.62246897452644</v>
      </c>
      <c r="P62" s="165"/>
      <c r="Q62" s="34"/>
      <c r="R62" s="162" t="s">
        <v>142</v>
      </c>
      <c r="S62" s="165">
        <f>'Membership History and Planning'!Q27</f>
        <v>204.43786106623588</v>
      </c>
      <c r="T62" s="165"/>
      <c r="U62" s="165">
        <f>'Membership History and Planning'!U27</f>
        <v>208.34949980818419</v>
      </c>
      <c r="V62" s="165"/>
      <c r="W62" s="165">
        <f>'Membership History and Planning'!Y27</f>
        <v>212.35961798861123</v>
      </c>
      <c r="X62" s="165"/>
      <c r="Y62" s="165">
        <f>'Membership History and Planning'!AC27</f>
        <v>216.4705119085348</v>
      </c>
      <c r="Z62" s="165"/>
      <c r="AA62" s="165">
        <f>'Membership History and Planning'!AG27</f>
        <v>220.68454276012892</v>
      </c>
      <c r="AB62" s="34"/>
    </row>
    <row r="63" spans="1:28" ht="16" customHeight="1" x14ac:dyDescent="0.2">
      <c r="A63" s="34"/>
      <c r="B63" s="166" t="s">
        <v>145</v>
      </c>
      <c r="C63" s="167"/>
      <c r="D63" s="168"/>
      <c r="E63" s="205">
        <f>'Membership History and Planning'!C28</f>
        <v>195.05817819148936</v>
      </c>
      <c r="F63" s="205"/>
      <c r="G63" s="205">
        <f>'Membership History and Planning'!D28</f>
        <v>218.08121212121213</v>
      </c>
      <c r="H63" s="205"/>
      <c r="I63" s="205">
        <f>'Membership History and Planning'!E28</f>
        <v>223.82838397790056</v>
      </c>
      <c r="J63" s="205"/>
      <c r="K63" s="205">
        <f>'Membership History and Planning'!F28</f>
        <v>254.27315190901706</v>
      </c>
      <c r="L63" s="205"/>
      <c r="M63" s="205">
        <f>'Membership History and Planning'!G28</f>
        <v>364.68400000000003</v>
      </c>
      <c r="N63" s="205"/>
      <c r="O63" s="205">
        <f>'Membership History and Planning'!K28</f>
        <v>318.82821685173087</v>
      </c>
      <c r="P63" s="169"/>
      <c r="Q63" s="34"/>
      <c r="R63" s="166" t="s">
        <v>145</v>
      </c>
      <c r="S63" s="169">
        <f>'Membership History and Planning'!Q28</f>
        <v>324.3068917609047</v>
      </c>
      <c r="T63" s="169"/>
      <c r="U63" s="169">
        <f>'Membership History and Planning'!U28</f>
        <v>329.91903825127878</v>
      </c>
      <c r="V63" s="169"/>
      <c r="W63" s="169">
        <f>'Membership History and Planning'!Y28</f>
        <v>335.66751237527677</v>
      </c>
      <c r="X63" s="169"/>
      <c r="Y63" s="169">
        <f>'Membership History and Planning'!AC28</f>
        <v>341.55525220601641</v>
      </c>
      <c r="Z63" s="169"/>
      <c r="AA63" s="169">
        <f>'Membership History and Planning'!AG28</f>
        <v>347.58527936468732</v>
      </c>
      <c r="AB63" s="34"/>
    </row>
    <row r="64" spans="1:28" ht="16" customHeight="1" x14ac:dyDescent="0.2">
      <c r="A64" s="34"/>
      <c r="C64" s="152"/>
      <c r="D64" s="145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145"/>
      <c r="Q64" s="34"/>
      <c r="S64" s="145"/>
      <c r="T64" s="145"/>
      <c r="U64" s="145"/>
      <c r="V64" s="145"/>
      <c r="W64" s="145"/>
      <c r="X64" s="145"/>
      <c r="Y64" s="145"/>
      <c r="Z64" s="145"/>
      <c r="AA64" s="145"/>
      <c r="AB64" s="34"/>
    </row>
    <row r="65" spans="1:28" ht="16" customHeight="1" x14ac:dyDescent="0.2">
      <c r="A65" s="34"/>
      <c r="C65" s="152"/>
      <c r="D65" s="145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145"/>
      <c r="Q65" s="34"/>
      <c r="S65" s="145"/>
      <c r="T65" s="145"/>
      <c r="U65" s="145"/>
      <c r="V65" s="145"/>
      <c r="W65" s="145"/>
      <c r="X65" s="145"/>
      <c r="Y65" s="145"/>
      <c r="Z65" s="145"/>
      <c r="AA65" s="145"/>
      <c r="AB65" s="34"/>
    </row>
    <row r="66" spans="1:28" ht="16" customHeight="1" x14ac:dyDescent="0.2">
      <c r="A66" s="34"/>
      <c r="B66" s="158" t="s">
        <v>116</v>
      </c>
      <c r="C66" s="176"/>
      <c r="D66" s="161"/>
      <c r="E66" s="203">
        <f>'Membership History and Planning'!C32</f>
        <v>46.59957140670442</v>
      </c>
      <c r="F66" s="203"/>
      <c r="G66" s="203">
        <f>'Membership History and Planning'!D32</f>
        <v>38.684095178459614</v>
      </c>
      <c r="H66" s="203"/>
      <c r="I66" s="203">
        <f>'Membership History and Planning'!E32</f>
        <v>39.666204559457796</v>
      </c>
      <c r="J66" s="203"/>
      <c r="K66" s="203">
        <f>'Membership History and Planning'!F32</f>
        <v>39.63621353880022</v>
      </c>
      <c r="L66" s="203"/>
      <c r="M66" s="203">
        <f>'Membership History and Planning'!G32</f>
        <v>81.579541984732828</v>
      </c>
      <c r="N66" s="203"/>
      <c r="O66" s="203">
        <f>'Membership History and Planning'!K32</f>
        <v>29.958058717795087</v>
      </c>
      <c r="P66" s="161"/>
      <c r="Q66" s="34"/>
      <c r="R66" s="158" t="s">
        <v>116</v>
      </c>
      <c r="S66" s="161">
        <f>'Membership History and Planning'!Q32</f>
        <v>30.545670225385528</v>
      </c>
      <c r="T66" s="161"/>
      <c r="U66" s="161">
        <f>'Membership History and Planning'!U32</f>
        <v>31.14797416324134</v>
      </c>
      <c r="V66" s="161"/>
      <c r="W66" s="161">
        <f>'Membership History and Planning'!Y32</f>
        <v>31.765319767441859</v>
      </c>
      <c r="X66" s="161"/>
      <c r="Y66" s="161">
        <f>'Membership History and Planning'!AC32</f>
        <v>32.398065918249856</v>
      </c>
      <c r="Z66" s="161"/>
      <c r="AA66" s="161">
        <f>'Membership History and Planning'!AG32</f>
        <v>33.046581365450393</v>
      </c>
      <c r="AB66" s="34"/>
    </row>
    <row r="67" spans="1:28" ht="16" customHeight="1" x14ac:dyDescent="0.2">
      <c r="A67" s="34"/>
      <c r="B67" s="162" t="s">
        <v>117</v>
      </c>
      <c r="C67" s="177"/>
      <c r="D67" s="165"/>
      <c r="E67" s="204">
        <f>'Membership History and Planning'!C33</f>
        <v>84.489514771161794</v>
      </c>
      <c r="F67" s="204"/>
      <c r="G67" s="204">
        <f>'Membership History and Planning'!D33</f>
        <v>81.05760801502818</v>
      </c>
      <c r="H67" s="204"/>
      <c r="I67" s="204">
        <f>'Membership History and Planning'!E33</f>
        <v>86.169439309919895</v>
      </c>
      <c r="J67" s="204"/>
      <c r="K67" s="204">
        <f>'Membership History and Planning'!F33</f>
        <v>102.71252981104385</v>
      </c>
      <c r="L67" s="204"/>
      <c r="M67" s="204">
        <f>'Membership History and Planning'!G33</f>
        <v>139.70076335877863</v>
      </c>
      <c r="N67" s="204"/>
      <c r="O67" s="204">
        <f>'Membership History and Planning'!K33</f>
        <v>121.30017974835231</v>
      </c>
      <c r="P67" s="165"/>
      <c r="Q67" s="34"/>
      <c r="R67" s="162" t="s">
        <v>117</v>
      </c>
      <c r="S67" s="165">
        <f>'Membership History and Planning'!Q33</f>
        <v>121.37514827995255</v>
      </c>
      <c r="T67" s="165"/>
      <c r="U67" s="165">
        <f>'Membership History and Planning'!U33</f>
        <v>121.48717263652378</v>
      </c>
      <c r="V67" s="165"/>
      <c r="W67" s="165">
        <f>'Membership History and Planning'!Y33</f>
        <v>121.63629921511628</v>
      </c>
      <c r="X67" s="165"/>
      <c r="Y67" s="165">
        <f>'Membership History and Planning'!AC33</f>
        <v>121.82260661456533</v>
      </c>
      <c r="Z67" s="165"/>
      <c r="AA67" s="165">
        <f>'Membership History and Planning'!AG33</f>
        <v>122.04620508562429</v>
      </c>
      <c r="AB67" s="34"/>
    </row>
    <row r="68" spans="1:28" ht="15" customHeight="1" x14ac:dyDescent="0.2">
      <c r="A68" s="34"/>
      <c r="B68" s="162" t="s">
        <v>143</v>
      </c>
      <c r="C68" s="177"/>
      <c r="D68" s="165"/>
      <c r="E68" s="204">
        <f>'Membership History and Planning'!C34</f>
        <v>183.66600336751875</v>
      </c>
      <c r="F68" s="204"/>
      <c r="G68" s="204">
        <f>'Membership History and Planning'!D34</f>
        <v>198.66452723857233</v>
      </c>
      <c r="H68" s="204"/>
      <c r="I68" s="204">
        <f>'Membership History and Planning'!E34</f>
        <v>199.95502156500308</v>
      </c>
      <c r="J68" s="204"/>
      <c r="K68" s="204">
        <f>'Membership History and Planning'!F34</f>
        <v>235.33388369106586</v>
      </c>
      <c r="L68" s="204"/>
      <c r="M68" s="204">
        <f>'Membership History and Planning'!G34</f>
        <v>362.92335877862598</v>
      </c>
      <c r="N68" s="204"/>
      <c r="O68" s="204">
        <f>'Membership History and Planning'!K34</f>
        <v>297.2947872977831</v>
      </c>
      <c r="P68" s="165"/>
      <c r="Q68" s="34"/>
      <c r="R68" s="162" t="s">
        <v>143</v>
      </c>
      <c r="S68" s="165">
        <f>'Membership History and Planning'!Q34</f>
        <v>408.34662156042413</v>
      </c>
      <c r="T68" s="165"/>
      <c r="U68" s="165">
        <f>'Membership History and Planning'!U34</f>
        <v>402.66610695568704</v>
      </c>
      <c r="V68" s="165"/>
      <c r="W68" s="165">
        <f>'Membership History and Planning'!Y34</f>
        <v>403.51907612094806</v>
      </c>
      <c r="X68" s="165"/>
      <c r="Y68" s="165">
        <f>'Membership History and Planning'!AC34</f>
        <v>402.92830722707674</v>
      </c>
      <c r="Z68" s="165"/>
      <c r="AA68" s="165">
        <f>'Membership History and Planning'!AG34</f>
        <v>402.8312975999728</v>
      </c>
      <c r="AB68" s="34"/>
    </row>
    <row r="69" spans="1:28" ht="16" customHeight="1" x14ac:dyDescent="0.2">
      <c r="A69" s="34"/>
      <c r="B69" s="162"/>
      <c r="C69" s="177"/>
      <c r="D69" s="165"/>
      <c r="E69" s="204"/>
      <c r="F69" s="204"/>
      <c r="G69" s="204"/>
      <c r="H69" s="204"/>
      <c r="I69" s="204"/>
      <c r="J69" s="204"/>
      <c r="K69" s="204"/>
      <c r="L69" s="204"/>
      <c r="M69" s="204">
        <f>'Membership History and Planning'!G35</f>
        <v>0</v>
      </c>
      <c r="N69" s="204"/>
      <c r="O69" s="204"/>
      <c r="P69" s="165"/>
      <c r="Q69" s="34"/>
      <c r="R69" s="162"/>
      <c r="S69" s="165"/>
      <c r="T69" s="165"/>
      <c r="U69" s="165"/>
      <c r="V69" s="165"/>
      <c r="W69" s="165"/>
      <c r="X69" s="165"/>
      <c r="Y69" s="165"/>
      <c r="Z69" s="165"/>
      <c r="AA69" s="165"/>
      <c r="AB69" s="34"/>
    </row>
    <row r="70" spans="1:28" ht="16" customHeight="1" x14ac:dyDescent="0.2">
      <c r="A70" s="34"/>
      <c r="B70" s="162" t="s">
        <v>138</v>
      </c>
      <c r="C70" s="177"/>
      <c r="D70" s="165"/>
      <c r="E70" s="204">
        <f>'Membership History and Planning'!C36</f>
        <v>100.13577223327721</v>
      </c>
      <c r="F70" s="204"/>
      <c r="G70" s="204">
        <f>'Membership History and Planning'!D36</f>
        <v>104.36819035691923</v>
      </c>
      <c r="H70" s="204"/>
      <c r="I70" s="204">
        <f>'Membership History and Planning'!E36</f>
        <v>110.47627849661122</v>
      </c>
      <c r="J70" s="204"/>
      <c r="K70" s="204">
        <f>'Membership History and Planning'!F36</f>
        <v>120.30251330031187</v>
      </c>
      <c r="L70" s="204"/>
      <c r="M70" s="204">
        <f>'Membership History and Planning'!G36</f>
        <v>172.18900763358778</v>
      </c>
      <c r="N70" s="204"/>
      <c r="O70" s="204">
        <f>'Membership History and Planning'!K36</f>
        <v>184.03415218693829</v>
      </c>
      <c r="P70" s="165"/>
      <c r="Q70" s="34"/>
      <c r="R70" s="162" t="s">
        <v>138</v>
      </c>
      <c r="S70" s="165">
        <f>'Membership History and Planning'!Q36</f>
        <v>187.64388493475684</v>
      </c>
      <c r="T70" s="165"/>
      <c r="U70" s="165">
        <f>'Membership History and Planning'!U36</f>
        <v>191.34387416324137</v>
      </c>
      <c r="V70" s="165"/>
      <c r="W70" s="165">
        <f>'Membership History and Planning'!Y36</f>
        <v>195.13626525058143</v>
      </c>
      <c r="X70" s="165"/>
      <c r="Y70" s="165">
        <f>'Membership History and Planning'!AC36</f>
        <v>199.023262819764</v>
      </c>
      <c r="Z70" s="165"/>
      <c r="AA70" s="165">
        <f>'Membership History and Planning'!AG36</f>
        <v>203.00713212284379</v>
      </c>
      <c r="AB70" s="34"/>
    </row>
    <row r="71" spans="1:28" ht="16" customHeight="1" x14ac:dyDescent="0.2">
      <c r="A71" s="34"/>
      <c r="B71" s="166" t="s">
        <v>146</v>
      </c>
      <c r="C71" s="178"/>
      <c r="D71" s="169"/>
      <c r="E71" s="205">
        <f>'Membership History and Planning'!C37</f>
        <v>179.62191948568804</v>
      </c>
      <c r="F71" s="205"/>
      <c r="G71" s="205">
        <f>'Membership History and Planning'!D37</f>
        <v>197.15388227927363</v>
      </c>
      <c r="H71" s="205"/>
      <c r="I71" s="205">
        <f>'Membership History and Planning'!E37</f>
        <v>199.69408502772643</v>
      </c>
      <c r="J71" s="205"/>
      <c r="K71" s="205">
        <f>'Membership History and Planning'!F37</f>
        <v>229.69014859658779</v>
      </c>
      <c r="L71" s="205"/>
      <c r="M71" s="205">
        <f>'Membership History and Planning'!G37</f>
        <v>334.06167938931299</v>
      </c>
      <c r="N71" s="205"/>
      <c r="O71" s="205">
        <f>'Membership History and Planning'!K37</f>
        <v>292.4661473936489</v>
      </c>
      <c r="P71" s="169"/>
      <c r="Q71" s="34"/>
      <c r="R71" s="166" t="s">
        <v>146</v>
      </c>
      <c r="S71" s="169">
        <f>'Membership History and Planning'!Q37</f>
        <v>297.6660231316726</v>
      </c>
      <c r="T71" s="169"/>
      <c r="U71" s="169">
        <f>'Membership History and Planning'!U37</f>
        <v>302.99082549911918</v>
      </c>
      <c r="V71" s="169"/>
      <c r="W71" s="169">
        <f>'Membership History and Planning'!Y37</f>
        <v>308.44331587739822</v>
      </c>
      <c r="X71" s="169"/>
      <c r="Y71" s="169">
        <f>'Membership History and Planning'!AC37</f>
        <v>314.02633147553723</v>
      </c>
      <c r="Z71" s="169"/>
      <c r="AA71" s="169">
        <f>'Membership History and Planning'!AG37</f>
        <v>319.74278691842818</v>
      </c>
      <c r="AB71" s="34"/>
    </row>
    <row r="72" spans="1:28" ht="16" customHeight="1" x14ac:dyDescent="0.2">
      <c r="A72" s="34"/>
      <c r="B72" s="34"/>
      <c r="C72" s="145"/>
      <c r="D72" s="145"/>
      <c r="E72" s="145"/>
      <c r="F72" s="145"/>
      <c r="G72" s="145"/>
      <c r="H72" s="145"/>
      <c r="I72" s="145"/>
      <c r="J72" s="145"/>
      <c r="K72" s="145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34"/>
    </row>
    <row r="73" spans="1:28" ht="15" customHeight="1" x14ac:dyDescent="0.2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</row>
    <row r="74" spans="1:28" ht="16" customHeight="1" x14ac:dyDescent="0.2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</row>
    <row r="75" spans="1:28" ht="16" customHeight="1" x14ac:dyDescent="0.2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</row>
    <row r="76" spans="1:28" ht="16" customHeight="1" x14ac:dyDescent="0.2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</row>
    <row r="77" spans="1:28" ht="16" customHeight="1" x14ac:dyDescent="0.2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</row>
    <row r="78" spans="1:28" ht="16" x14ac:dyDescent="0.2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</row>
    <row r="79" spans="1:28" ht="16" x14ac:dyDescent="0.2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</row>
    <row r="80" spans="1:28" ht="16" x14ac:dyDescent="0.2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</row>
    <row r="81" spans="1:28" ht="16" x14ac:dyDescent="0.2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</row>
    <row r="82" spans="1:28" ht="16" x14ac:dyDescent="0.2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</row>
    <row r="83" spans="1:28" ht="16" x14ac:dyDescent="0.2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</row>
    <row r="84" spans="1:28" ht="16" x14ac:dyDescent="0.2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</row>
    <row r="85" spans="1:28" ht="16" x14ac:dyDescent="0.2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</row>
    <row r="86" spans="1:28" ht="16" x14ac:dyDescent="0.2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</row>
    <row r="87" spans="1:28" ht="16" x14ac:dyDescent="0.2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</row>
  </sheetData>
  <mergeCells count="1">
    <mergeCell ref="A3:N3"/>
  </mergeCells>
  <phoneticPr fontId="2" type="noConversion"/>
  <printOptions horizontalCentered="1" verticalCentered="1" gridLines="1"/>
  <pageMargins left="0.45" right="0.45" top="1" bottom="1" header="0.5" footer="0.5"/>
  <pageSetup scale="36" orientation="landscape"/>
  <headerFooter alignWithMargins="0">
    <oddFooter>&amp;C&amp;8&amp;D</oddFooter>
  </headerFooter>
  <colBreaks count="1" manualBreakCount="1">
    <brk id="14" max="6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36"/>
  <sheetViews>
    <sheetView zoomScaleNormal="100" zoomScalePageLayoutView="10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24" sqref="B24:B25"/>
    </sheetView>
  </sheetViews>
  <sheetFormatPr baseColWidth="10" defaultColWidth="9.1640625" defaultRowHeight="11" x14ac:dyDescent="0.15"/>
  <cols>
    <col min="1" max="1" width="2" style="1" customWidth="1"/>
    <col min="2" max="2" width="27.6640625" style="1" customWidth="1"/>
    <col min="3" max="3" width="3.33203125" style="1" customWidth="1"/>
    <col min="4" max="4" width="9.33203125" style="1" bestFit="1" customWidth="1"/>
    <col min="5" max="5" width="3.33203125" style="1" customWidth="1"/>
    <col min="6" max="6" width="9.33203125" style="1" bestFit="1" customWidth="1"/>
    <col min="7" max="7" width="3.33203125" style="1" customWidth="1"/>
    <col min="8" max="8" width="10.1640625" style="1" bestFit="1" customWidth="1"/>
    <col min="9" max="9" width="3.33203125" style="1" customWidth="1"/>
    <col min="10" max="10" width="9.33203125" style="1" bestFit="1" customWidth="1"/>
    <col min="11" max="11" width="3.33203125" style="1" customWidth="1"/>
    <col min="12" max="12" width="9.33203125" style="1" bestFit="1" customWidth="1"/>
    <col min="13" max="13" width="3.33203125" style="1" customWidth="1"/>
    <col min="14" max="14" width="9.33203125" style="1" bestFit="1" customWidth="1"/>
    <col min="15" max="15" width="4.33203125" style="1" customWidth="1"/>
    <col min="16" max="16" width="11.6640625" style="1" customWidth="1"/>
    <col min="17" max="16384" width="9.1640625" style="1"/>
  </cols>
  <sheetData>
    <row r="1" spans="1:17" ht="16" customHeight="1" x14ac:dyDescent="0.2">
      <c r="A1" s="106" t="s">
        <v>42</v>
      </c>
      <c r="H1" s="41" t="str">
        <f>Setup!B2</f>
        <v xml:space="preserve">Five Year Operating and Membership Plan </v>
      </c>
    </row>
    <row r="2" spans="1:17" ht="20" customHeight="1" x14ac:dyDescent="0.4">
      <c r="A2" s="390" t="str">
        <f>Setup!B6&amp;" Council Operating Fund Historical Growth"</f>
        <v>Sample Council- #0325 Council Operating Fund Historical Growth</v>
      </c>
      <c r="B2" s="390"/>
      <c r="C2" s="390"/>
      <c r="D2" s="390"/>
      <c r="E2" s="390"/>
      <c r="F2" s="390"/>
      <c r="G2" s="390"/>
      <c r="H2" s="390"/>
      <c r="I2" s="390"/>
      <c r="J2" s="390"/>
      <c r="K2" s="390"/>
      <c r="L2" s="390"/>
      <c r="M2" s="390"/>
    </row>
    <row r="3" spans="1:17" ht="20" customHeight="1" x14ac:dyDescent="0.4">
      <c r="A3" s="246"/>
      <c r="B3" s="246"/>
      <c r="C3" s="246"/>
      <c r="D3" s="43">
        <f>Setup!$B4-4</f>
        <v>2018</v>
      </c>
      <c r="E3" s="43"/>
      <c r="F3" s="43">
        <f>Setup!$B4-3</f>
        <v>2019</v>
      </c>
      <c r="G3" s="43"/>
      <c r="H3" s="43">
        <f>Setup!$B4-2</f>
        <v>2020</v>
      </c>
      <c r="I3" s="43"/>
      <c r="J3" s="43">
        <f>Setup!$B4-1</f>
        <v>2021</v>
      </c>
      <c r="K3" s="43"/>
      <c r="L3" s="43">
        <f>Setup!$B4</f>
        <v>2022</v>
      </c>
      <c r="M3" s="246"/>
      <c r="N3" s="248" t="s">
        <v>169</v>
      </c>
      <c r="O3" s="248"/>
      <c r="P3" s="248" t="s">
        <v>172</v>
      </c>
    </row>
    <row r="4" spans="1:17" ht="25" customHeight="1" x14ac:dyDescent="0.15">
      <c r="C4" s="25"/>
      <c r="D4" s="247" t="s">
        <v>168</v>
      </c>
      <c r="E4" s="247"/>
      <c r="F4" s="247" t="s">
        <v>168</v>
      </c>
      <c r="G4" s="247"/>
      <c r="H4" s="247" t="s">
        <v>168</v>
      </c>
      <c r="I4" s="247"/>
      <c r="J4" s="247" t="s">
        <v>168</v>
      </c>
      <c r="K4" s="247"/>
      <c r="L4" s="247" t="s">
        <v>171</v>
      </c>
      <c r="M4" s="27"/>
      <c r="N4" s="249" t="s">
        <v>170</v>
      </c>
      <c r="P4" s="249" t="s">
        <v>173</v>
      </c>
    </row>
    <row r="5" spans="1:17" ht="15" customHeight="1" x14ac:dyDescent="0.2">
      <c r="A5" s="33" t="s">
        <v>38</v>
      </c>
      <c r="B5" s="34"/>
      <c r="C5" s="25"/>
      <c r="D5" s="2"/>
      <c r="E5" s="27"/>
      <c r="F5" s="2"/>
      <c r="G5" s="27"/>
      <c r="H5" s="2"/>
      <c r="I5" s="27"/>
      <c r="J5" s="2"/>
      <c r="K5" s="27"/>
      <c r="L5" s="2"/>
      <c r="M5" s="27"/>
    </row>
    <row r="6" spans="1:17" ht="14" customHeight="1" thickBot="1" x14ac:dyDescent="0.2">
      <c r="A6" s="44"/>
      <c r="B6" s="44" t="s">
        <v>15</v>
      </c>
      <c r="C6" s="80"/>
      <c r="D6" s="81">
        <f>IF('A. History Input &amp; Output'!E8=0,IF('A. History Input &amp; Output'!G8=0,0,1),'A. History Input &amp; Output'!G8/'A. History Input &amp; Output'!E8-1)</f>
        <v>-0.1882864979388047</v>
      </c>
      <c r="E6" s="82"/>
      <c r="F6" s="81">
        <f>IF('A. History Input &amp; Output'!G8=0,IF('A. History Input &amp; Output'!I8=0,0,1),'A. History Input &amp; Output'!I8/'A. History Input &amp; Output'!G8-1)</f>
        <v>4.208179220926378E-2</v>
      </c>
      <c r="G6" s="82"/>
      <c r="H6" s="81">
        <f>IF('A. History Input &amp; Output'!I8=0,IF('A. History Input &amp; Output'!K8=0,0,1),'A. History Input &amp; Output'!K8/'A. History Input &amp; Output'!I8-1)</f>
        <v>-0.16098604730634958</v>
      </c>
      <c r="I6" s="82"/>
      <c r="J6" s="81">
        <f>IF('A. History Input &amp; Output'!K8=0,IF('A. History Input &amp; Output'!M8=0,0,1),'A. History Input &amp; Output'!M8/'A. History Input &amp; Output'!K8-1)</f>
        <v>0.23658571580647703</v>
      </c>
      <c r="K6" s="82"/>
      <c r="L6" s="81">
        <f>IF('A. History Input &amp; Output'!M8=0,IF('A. History Input &amp; Output'!O8=0,0,1),'A. History Input &amp; Output'!O8/'A. History Input &amp; Output'!M8-1)</f>
        <v>-0.62571068184285084</v>
      </c>
      <c r="M6" s="83"/>
      <c r="N6" s="84">
        <f>(IF(F6=0,0,IF('A. History Input &amp; Output'!E8=0,"0",POWER('A. History Input &amp; Output'!M8/'A. History Input &amp; Output'!E8,1/4))))-1</f>
        <v>-3.211335685667438E-2</v>
      </c>
      <c r="O6" s="44"/>
      <c r="P6" s="84">
        <f>(IF(F6=0,0,IF('A. History Input &amp; Output'!E8=0,"0",POWER('A. History Input &amp; Output'!O8/'A. History Input &amp; Output'!E8,1/5))))-1</f>
        <v>-0.19961105061686213</v>
      </c>
      <c r="Q6"/>
    </row>
    <row r="7" spans="1:17" ht="14" customHeight="1" thickBot="1" x14ac:dyDescent="0.2">
      <c r="A7" s="44"/>
      <c r="B7" s="44" t="s">
        <v>13</v>
      </c>
      <c r="C7" s="80"/>
      <c r="D7" s="81">
        <f>IF('A. History Input &amp; Output'!E9=0,IF('A. History Input &amp; Output'!G9=0,0,1),'A. History Input &amp; Output'!G9/'A. History Input &amp; Output'!E9-1)</f>
        <v>1</v>
      </c>
      <c r="E7" s="82"/>
      <c r="F7" s="81">
        <f>IF('A. History Input &amp; Output'!G9=0,IF('A. History Input &amp; Output'!I9=0,0,1),'A. History Input &amp; Output'!I9/'A. History Input &amp; Output'!G9-1)</f>
        <v>-0.87478086651640374</v>
      </c>
      <c r="G7" s="82"/>
      <c r="H7" s="81">
        <f>IF('A. History Input &amp; Output'!I9=0,IF('A. History Input &amp; Output'!K9=0,0,1),'A. History Input &amp; Output'!K9/'A. History Input &amp; Output'!I9-1)</f>
        <v>-1</v>
      </c>
      <c r="I7" s="82"/>
      <c r="J7" s="81">
        <f>IF('A. History Input &amp; Output'!K9=0,IF('A. History Input &amp; Output'!M9=0,0,1),'A. History Input &amp; Output'!M9/'A. History Input &amp; Output'!K9-1)</f>
        <v>0</v>
      </c>
      <c r="K7" s="82"/>
      <c r="L7" s="81">
        <f>IF('A. History Input &amp; Output'!M9=0,IF('A. History Input &amp; Output'!O9=0,0,1),'A. History Input &amp; Output'!O9/'A. History Input &amp; Output'!M9-1)</f>
        <v>0</v>
      </c>
      <c r="M7" s="83"/>
      <c r="N7" s="84">
        <f>(IF(F7=0,0,IF('A. History Input &amp; Output'!E9=0,"0",POWER('A. History Input &amp; Output'!M9/'A. History Input &amp; Output'!E9,1/4))))-1</f>
        <v>-1</v>
      </c>
      <c r="O7" s="44"/>
      <c r="P7" s="84">
        <f>(IF(F7=0,0,IF('A. History Input &amp; Output'!E9=0,"0",POWER('A. History Input &amp; Output'!O9/'A. History Input &amp; Output'!E9,1/5))))-1</f>
        <v>-1</v>
      </c>
      <c r="Q7"/>
    </row>
    <row r="8" spans="1:17" ht="14" customHeight="1" thickBot="1" x14ac:dyDescent="0.2">
      <c r="A8" s="44"/>
      <c r="B8" s="44" t="s">
        <v>16</v>
      </c>
      <c r="C8" s="80"/>
      <c r="D8" s="81">
        <f>IF('A. History Input &amp; Output'!E10=0,IF('A. History Input &amp; Output'!G10=0,0,1),'A. History Input &amp; Output'!G10/'A. History Input &amp; Output'!E10-1)</f>
        <v>0.19555964569193596</v>
      </c>
      <c r="E8" s="82"/>
      <c r="F8" s="81">
        <f>IF('A. History Input &amp; Output'!G10=0,IF('A. History Input &amp; Output'!I10=0,0,1),'A. History Input &amp; Output'!I10/'A. History Input &amp; Output'!G10-1)</f>
        <v>-0.13718368132396808</v>
      </c>
      <c r="G8" s="82"/>
      <c r="H8" s="81">
        <f>IF('A. History Input &amp; Output'!I10=0,IF('A. History Input &amp; Output'!K10=0,0,1),'A. History Input &amp; Output'!K10/'A. History Input &amp; Output'!I10-1)</f>
        <v>-0.27037274526750121</v>
      </c>
      <c r="I8" s="82"/>
      <c r="J8" s="81">
        <f>IF('A. History Input &amp; Output'!K10=0,IF('A. History Input &amp; Output'!M10=0,0,1),'A. History Input &amp; Output'!M10/'A. History Input &amp; Output'!K10-1)</f>
        <v>-0.27061760472787943</v>
      </c>
      <c r="K8" s="82"/>
      <c r="L8" s="81">
        <f>IF('A. History Input &amp; Output'!M10=0,IF('A. History Input &amp; Output'!O10=0,0,1),'A. History Input &amp; Output'!O10/'A. History Input &amp; Output'!M10-1)</f>
        <v>-0.198477281458457</v>
      </c>
      <c r="M8" s="83"/>
      <c r="N8" s="84">
        <f>(IF(F8=0,0,IF('A. History Input &amp; Output'!E10=0,"0",POWER('A. History Input &amp; Output'!M10/'A. History Input &amp; Output'!E10,1/4))))-1</f>
        <v>-0.13923127148158676</v>
      </c>
      <c r="O8" s="44"/>
      <c r="P8" s="84">
        <f>(IF(F8=0,0,IF('A. History Input &amp; Output'!E10=0,"0",POWER('A. History Input &amp; Output'!O10/'A. History Input &amp; Output'!E10,1/5))))-1</f>
        <v>-0.15142085930732352</v>
      </c>
      <c r="Q8"/>
    </row>
    <row r="9" spans="1:17" ht="14" customHeight="1" thickBot="1" x14ac:dyDescent="0.2">
      <c r="A9" s="44"/>
      <c r="B9" s="44" t="s">
        <v>17</v>
      </c>
      <c r="C9" s="80"/>
      <c r="D9" s="81">
        <f>IF('A. History Input &amp; Output'!E11=0,IF('A. History Input &amp; Output'!G11=0,0,1),'A. History Input &amp; Output'!G11/'A. History Input &amp; Output'!E11-1)</f>
        <v>-0.96187694936130486</v>
      </c>
      <c r="E9" s="82"/>
      <c r="F9" s="81">
        <f>IF('A. History Input &amp; Output'!G11=0,IF('A. History Input &amp; Output'!I11=0,0,1),'A. History Input &amp; Output'!I11/'A. History Input &amp; Output'!G11-1)</f>
        <v>19.230849400729547</v>
      </c>
      <c r="G9" s="82"/>
      <c r="H9" s="81">
        <f>IF('A. History Input &amp; Output'!I11=0,IF('A. History Input &amp; Output'!K11=0,0,1),'A. History Input &amp; Output'!K11/'A. History Input &amp; Output'!I11-1)</f>
        <v>1.8333719702238365</v>
      </c>
      <c r="I9" s="82"/>
      <c r="J9" s="81">
        <f>IF('A. History Input &amp; Output'!K11=0,IF('A. History Input &amp; Output'!M11=0,0,1),'A. History Input &amp; Output'!M11/'A. History Input &amp; Output'!K11-1)</f>
        <v>-1</v>
      </c>
      <c r="K9" s="82"/>
      <c r="L9" s="81">
        <f>IF('A. History Input &amp; Output'!M11=0,IF('A. History Input &amp; Output'!O11=0,0,1),'A. History Input &amp; Output'!O11/'A. History Input &amp; Output'!M11-1)</f>
        <v>0</v>
      </c>
      <c r="M9" s="83"/>
      <c r="N9" s="84">
        <f>(IF(F9=0,0,IF('A. History Input &amp; Output'!E11=0,"0",POWER('A. History Input &amp; Output'!M11/'A. History Input &amp; Output'!E11,1/4))))-1</f>
        <v>-1</v>
      </c>
      <c r="O9" s="44"/>
      <c r="P9" s="84">
        <f>(IF(F9=0,0,IF('A. History Input &amp; Output'!E11=0,"0",POWER('A. History Input &amp; Output'!O11/'A. History Input &amp; Output'!E11,1/5))))-1</f>
        <v>-1</v>
      </c>
      <c r="Q9"/>
    </row>
    <row r="10" spans="1:17" ht="15" customHeight="1" thickBot="1" x14ac:dyDescent="0.2">
      <c r="A10" s="44"/>
      <c r="B10" s="44" t="s">
        <v>14</v>
      </c>
      <c r="C10" s="80"/>
      <c r="D10" s="81">
        <f>IF('A. History Input &amp; Output'!E12=0,IF('A. History Input &amp; Output'!G12=0,0,1),'A. History Input &amp; Output'!G12/'A. History Input &amp; Output'!E12-1)</f>
        <v>0.51385978697398293</v>
      </c>
      <c r="E10" s="82"/>
      <c r="F10" s="81">
        <f>IF('A. History Input &amp; Output'!G12=0,IF('A. History Input &amp; Output'!I12=0,0,1),'A. History Input &amp; Output'!I12/'A. History Input &amp; Output'!G12-1)</f>
        <v>-8.2195533384275987E-2</v>
      </c>
      <c r="G10" s="82"/>
      <c r="H10" s="81">
        <f>IF('A. History Input &amp; Output'!I12=0,IF('A. History Input &amp; Output'!K12=0,0,1),'A. History Input &amp; Output'!K12/'A. History Input &amp; Output'!I12-1)</f>
        <v>0.16131515284803166</v>
      </c>
      <c r="I10" s="82"/>
      <c r="J10" s="81">
        <f>IF('A. History Input &amp; Output'!K12=0,IF('A. History Input &amp; Output'!M12=0,0,1),'A. History Input &amp; Output'!M12/'A. History Input &amp; Output'!K12-1)</f>
        <v>-0.10465053363453136</v>
      </c>
      <c r="K10" s="82"/>
      <c r="L10" s="81">
        <f>IF('A. History Input &amp; Output'!M12=0,IF('A. History Input &amp; Output'!O12=0,0,1),'A. History Input &amp; Output'!O12/'A. History Input &amp; Output'!M12-1)</f>
        <v>0.38237360346273253</v>
      </c>
      <c r="M10" s="83"/>
      <c r="N10" s="84">
        <f>(IF(F10=0,0,IF('A. History Input &amp; Output'!E12=0,"0",POWER('A. History Input &amp; Output'!M12/'A. History Input &amp; Output'!E12,1/4))))-1</f>
        <v>9.6338392612716817E-2</v>
      </c>
      <c r="O10" s="44"/>
      <c r="P10" s="84">
        <f>(IF(F10=0,0,IF('A. History Input &amp; Output'!E12=0,"0",POWER('A. History Input &amp; Output'!O12/'A. History Input &amp; Output'!E12,1/5))))-1</f>
        <v>0.14836721384693852</v>
      </c>
      <c r="Q10"/>
    </row>
    <row r="11" spans="1:17" ht="14" customHeight="1" x14ac:dyDescent="0.15">
      <c r="A11" s="44"/>
      <c r="B11" s="44" t="s">
        <v>18</v>
      </c>
      <c r="C11" s="80"/>
      <c r="D11" s="90">
        <f>IF('A. History Input &amp; Output'!E13=0,IF('A. History Input &amp; Output'!G13=0,0,1),'A. History Input &amp; Output'!G13/'A. History Input &amp; Output'!E13-1)</f>
        <v>6.8799999999999972E-2</v>
      </c>
      <c r="E11" s="82"/>
      <c r="F11" s="90">
        <f>IF('A. History Input &amp; Output'!G13=0,IF('A. History Input &amp; Output'!I13=0,0,1),'A. History Input &amp; Output'!I13/'A. History Input &amp; Output'!G13-1)</f>
        <v>19.698353293413174</v>
      </c>
      <c r="G11" s="82"/>
      <c r="H11" s="90">
        <f>IF('A. History Input &amp; Output'!I13=0,IF('A. History Input &amp; Output'!K13=0,0,1),'A. History Input &amp; Output'!K13/'A. History Input &amp; Output'!I13-1)</f>
        <v>-0.7301558601236755</v>
      </c>
      <c r="I11" s="82"/>
      <c r="J11" s="90">
        <f>IF('A. History Input &amp; Output'!K13=0,IF('A. History Input &amp; Output'!M13=0,0,1),'A. History Input &amp; Output'!M13/'A. History Input &amp; Output'!K13-1)</f>
        <v>-0.90619136960600377</v>
      </c>
      <c r="K11" s="85"/>
      <c r="L11" s="90">
        <f>IF('A. History Input &amp; Output'!M13=0,IF('A. History Input &amp; Output'!O13=0,0,1),'A. History Input &amp; Output'!O13/'A. History Input &amp; Output'!M13-1)</f>
        <v>107.57142857142857</v>
      </c>
      <c r="M11" s="83"/>
      <c r="N11" s="84">
        <f>(IF(F11=0,0,IF('A. History Input &amp; Output'!E13=0,"0",POWER('A. History Input &amp; Output'!M13/'A. History Input &amp; Output'!E13,1/4))))-1</f>
        <v>-0.13493845458557785</v>
      </c>
      <c r="O11" s="44"/>
      <c r="P11" s="84">
        <f>(IF(F11=0,0,IF('A. History Input &amp; Output'!E13=0,"0",POWER('A. History Input &amp; Output'!O13/'A. History Input &amp; Output'!E13,1/5))))-1</f>
        <v>1.2739489776202761</v>
      </c>
      <c r="Q11"/>
    </row>
    <row r="12" spans="1:17" ht="15" customHeight="1" x14ac:dyDescent="0.15">
      <c r="A12" s="44"/>
      <c r="B12" s="77" t="s">
        <v>32</v>
      </c>
      <c r="C12" s="91"/>
      <c r="D12" s="92">
        <f>IF('A. History Input &amp; Output'!E14=0,IF('A. History Input &amp; Output'!G14=0,0,1),'A. History Input &amp; Output'!G14/'A. History Input &amp; Output'!E14-1)</f>
        <v>-6.1912785115133095E-2</v>
      </c>
      <c r="E12" s="93"/>
      <c r="F12" s="92">
        <f>IF('A. History Input &amp; Output'!G14=0,IF('A. History Input &amp; Output'!I14=0,0,1),'A. History Input &amp; Output'!I14/'A. History Input &amp; Output'!G14-1)</f>
        <v>8.0371420404947047E-2</v>
      </c>
      <c r="G12" s="93"/>
      <c r="H12" s="92">
        <f>IF('A. History Input &amp; Output'!I14=0,IF('A. History Input &amp; Output'!K14=0,0,1),'A. History Input &amp; Output'!K14/'A. History Input &amp; Output'!I14-1)</f>
        <v>8.4731825559702934E-4</v>
      </c>
      <c r="I12" s="93"/>
      <c r="J12" s="92">
        <f>IF('A. History Input &amp; Output'!K14=0,IF('A. History Input &amp; Output'!M14=0,0,1),'A. History Input &amp; Output'!M14/'A. History Input &amp; Output'!K14-1)</f>
        <v>-0.18283364827839954</v>
      </c>
      <c r="K12" s="94"/>
      <c r="L12" s="92">
        <f>IF('A. History Input &amp; Output'!M14=0,IF('A. History Input &amp; Output'!O14=0,0,1),'A. History Input &amp; Output'!O14/'A. History Input &amp; Output'!M14-1)</f>
        <v>-0.11501136562336067</v>
      </c>
      <c r="M12" s="95"/>
      <c r="N12" s="96">
        <f>(IF(F12=0,0,IF('A. History Input &amp; Output'!E14=0,"0",POWER('A. History Input &amp; Output'!M14/'A. History Input &amp; Output'!E14,1/4))))-1</f>
        <v>-4.5834625802743556E-2</v>
      </c>
      <c r="O12" s="97"/>
      <c r="P12" s="96">
        <f>(IF(F12=0,0,IF('A. History Input &amp; Output'!E14=0,"0",POWER('A. History Input &amp; Output'!O14/'A. History Input &amp; Output'!E14,1/5))))-1</f>
        <v>-6.0089588135526784E-2</v>
      </c>
      <c r="Q12"/>
    </row>
    <row r="13" spans="1:17" ht="14" customHeight="1" thickBot="1" x14ac:dyDescent="0.2">
      <c r="A13" s="44"/>
      <c r="B13" s="44" t="s">
        <v>19</v>
      </c>
      <c r="C13" s="80"/>
      <c r="D13" s="81">
        <f>IF('A. History Input &amp; Output'!E15=0,IF('A. History Input &amp; Output'!G15=0,0,1),'A. History Input &amp; Output'!G15/'A. History Input &amp; Output'!E15-1)</f>
        <v>-0.36158916694007814</v>
      </c>
      <c r="E13" s="82"/>
      <c r="F13" s="81">
        <f>IF('A. History Input &amp; Output'!G15=0,IF('A. History Input &amp; Output'!I15=0,0,1),'A. History Input &amp; Output'!I15/'A. History Input &amp; Output'!G15-1)</f>
        <v>-0.14768267613530184</v>
      </c>
      <c r="G13" s="82"/>
      <c r="H13" s="81">
        <f>IF('A. History Input &amp; Output'!I15=0,IF('A. History Input &amp; Output'!K15=0,0,1),'A. History Input &amp; Output'!K15/'A. History Input &amp; Output'!I15-1)</f>
        <v>0.20435235432768728</v>
      </c>
      <c r="I13" s="82"/>
      <c r="J13" s="81">
        <f>IF('A. History Input &amp; Output'!K15=0,IF('A. History Input &amp; Output'!M15=0,0,1),'A. History Input &amp; Output'!M15/'A. History Input &amp; Output'!K15-1)</f>
        <v>-0.36534522780028222</v>
      </c>
      <c r="K13" s="82"/>
      <c r="L13" s="81">
        <f>IF('A. History Input &amp; Output'!M15=0,IF('A. History Input &amp; Output'!O15=0,0,1),'A. History Input &amp; Output'!O15/'A. History Input &amp; Output'!M15-1)</f>
        <v>-0.13941480206540446</v>
      </c>
      <c r="M13" s="83"/>
      <c r="N13" s="84">
        <f>(IF(F13=0,0,IF('A. History Input &amp; Output'!E15=0,"0",POWER('A. History Input &amp; Output'!M15/'A. History Input &amp; Output'!E15,1/4))))-1</f>
        <v>-0.19693967557151848</v>
      </c>
      <c r="O13" s="44"/>
      <c r="P13" s="84">
        <f>(IF(F13=0,0,IF('A. History Input &amp; Output'!E15=0,"0",POWER('A. History Input &amp; Output'!O15/'A. History Input &amp; Output'!E15,1/5))))-1</f>
        <v>-0.18575085666281776</v>
      </c>
      <c r="Q13"/>
    </row>
    <row r="14" spans="1:17" ht="14" customHeight="1" x14ac:dyDescent="0.15">
      <c r="A14" s="44"/>
      <c r="B14" s="44" t="s">
        <v>27</v>
      </c>
      <c r="C14" s="80"/>
      <c r="D14" s="90">
        <f>IF('A. History Input &amp; Output'!E16=0,IF('A. History Input &amp; Output'!G16=0,0,1),'A. History Input &amp; Output'!G16/'A. History Input &amp; Output'!E16-1)</f>
        <v>-0.11853082701561257</v>
      </c>
      <c r="E14" s="82"/>
      <c r="F14" s="90">
        <f>IF('A. History Input &amp; Output'!G16=0,IF('A. History Input &amp; Output'!I16=0,0,1),'A. History Input &amp; Output'!I16/'A. History Input &amp; Output'!G16-1)</f>
        <v>-4.9954836429328853E-2</v>
      </c>
      <c r="G14" s="82"/>
      <c r="H14" s="90">
        <f>IF('A. History Input &amp; Output'!I16=0,IF('A. History Input &amp; Output'!K16=0,0,1),'A. History Input &amp; Output'!K16/'A. History Input &amp; Output'!I16-1)</f>
        <v>-6.4114753420693615E-2</v>
      </c>
      <c r="I14" s="82"/>
      <c r="J14" s="90">
        <f>IF('A. History Input &amp; Output'!K16=0,IF('A. History Input &amp; Output'!M16=0,0,1),'A. History Input &amp; Output'!M16/'A. History Input &amp; Output'!K16-1)</f>
        <v>-0.13356890459363957</v>
      </c>
      <c r="K14" s="85"/>
      <c r="L14" s="90">
        <f>IF('A. History Input &amp; Output'!M16=0,IF('A. History Input &amp; Output'!O16=0,0,1),'A. History Input &amp; Output'!O16/'A. History Input &amp; Output'!M16-1)</f>
        <v>3.9967373572593834E-2</v>
      </c>
      <c r="M14" s="83"/>
      <c r="N14" s="84">
        <f>(IF(F14=0,0,IF('A. History Input &amp; Output'!E16=0,"0",POWER('A. History Input &amp; Output'!M16/'A. History Input &amp; Output'!E16,1/4))))-1</f>
        <v>-9.2227540267349806E-2</v>
      </c>
      <c r="O14" s="44"/>
      <c r="P14" s="84">
        <f>(IF(F14=0,0,IF('A. History Input &amp; Output'!E16=0,"0",POWER('A. History Input &amp; Output'!O16/'A. History Input &amp; Output'!E16,1/5))))-1</f>
        <v>-6.7206426810638709E-2</v>
      </c>
      <c r="Q14"/>
    </row>
    <row r="15" spans="1:17" s="7" customFormat="1" ht="15" customHeight="1" x14ac:dyDescent="0.15">
      <c r="A15" s="29"/>
      <c r="B15" s="77" t="s">
        <v>33</v>
      </c>
      <c r="C15" s="91"/>
      <c r="D15" s="92">
        <f>IF('A. History Input &amp; Output'!E17=0,IF('A. History Input &amp; Output'!G17=0,0,1),'A. History Input &amp; Output'!G17/'A. History Input &amp; Output'!E17-1)</f>
        <v>-0.24909475438202966</v>
      </c>
      <c r="E15" s="93"/>
      <c r="F15" s="92">
        <f>IF('A. History Input &amp; Output'!G17=0,IF('A. History Input &amp; Output'!I17=0,0,1),'A. History Input &amp; Output'!I17/'A. History Input &amp; Output'!G17-1)</f>
        <v>-9.458680948215159E-2</v>
      </c>
      <c r="G15" s="93"/>
      <c r="H15" s="92">
        <f>IF('A. History Input &amp; Output'!I17=0,IF('A. History Input &amp; Output'!K17=0,0,1),'A. History Input &amp; Output'!K17/'A. History Input &amp; Output'!I17-1)</f>
        <v>5.1303200263939308E-2</v>
      </c>
      <c r="I15" s="93"/>
      <c r="J15" s="92">
        <f>IF('A. History Input &amp; Output'!K17=0,IF('A. History Input &amp; Output'!M17=0,0,1),'A. History Input &amp; Output'!M17/'A. History Input &amp; Output'!K17-1)</f>
        <v>-0.2477191724014256</v>
      </c>
      <c r="K15" s="94"/>
      <c r="L15" s="92">
        <f>IF('A. History Input &amp; Output'!M17=0,IF('A. History Input &amp; Output'!O17=0,0,1),'A. History Input &amp; Output'!O17/'A. History Input &amp; Output'!M17-1)</f>
        <v>-3.456495828367101E-2</v>
      </c>
      <c r="M15" s="95"/>
      <c r="N15" s="96">
        <f>(IF(F15=0,0,IF('A. History Input &amp; Output'!E17=0,"0",POWER('A. History Input &amp; Output'!M17/'A. History Input &amp; Output'!E17,1/4))))-1</f>
        <v>-0.14368217588419685</v>
      </c>
      <c r="O15" s="97"/>
      <c r="P15" s="96">
        <f>(IF(F15=0,0,IF('A. History Input &amp; Output'!E17=0,"0",POWER('A. History Input &amp; Output'!O17/'A. History Input &amp; Output'!E17,1/5))))-1</f>
        <v>-0.12289295620312657</v>
      </c>
      <c r="Q15"/>
    </row>
    <row r="16" spans="1:17" ht="14" customHeight="1" thickBot="1" x14ac:dyDescent="0.2">
      <c r="A16" s="44"/>
      <c r="B16" s="44" t="s">
        <v>20</v>
      </c>
      <c r="C16" s="80"/>
      <c r="D16" s="81">
        <f>IF('A. History Input &amp; Output'!E18=0,IF('A. History Input &amp; Output'!G18=0,0,1),'A. History Input &amp; Output'!G18/'A. History Input &amp; Output'!E18-1)</f>
        <v>-0.28552071234998067</v>
      </c>
      <c r="E16" s="82"/>
      <c r="F16" s="81">
        <f>IF('A. History Input &amp; Output'!G18=0,IF('A. History Input &amp; Output'!I18=0,0,1),'A. History Input &amp; Output'!I18/'A. History Input &amp; Output'!G18-1)</f>
        <v>-7.3015442969385003E-2</v>
      </c>
      <c r="G16" s="82"/>
      <c r="H16" s="81">
        <f>IF('A. History Input &amp; Output'!I18=0,IF('A. History Input &amp; Output'!K18=0,0,1),'A. History Input &amp; Output'!K18/'A. History Input &amp; Output'!I18-1)</f>
        <v>0.54581323980710206</v>
      </c>
      <c r="I16" s="82"/>
      <c r="J16" s="81">
        <f>IF('A. History Input &amp; Output'!K18=0,IF('A. History Input &amp; Output'!M18=0,0,1),'A. History Input &amp; Output'!M18/'A. History Input &amp; Output'!K18-1)</f>
        <v>-0.84382681036112683</v>
      </c>
      <c r="K16" s="82"/>
      <c r="L16" s="81">
        <f>IF('A. History Input &amp; Output'!M18=0,IF('A. History Input &amp; Output'!O18=0,0,1),'A. History Input &amp; Output'!O18/'A. History Input &amp; Output'!M18-1)</f>
        <v>1.6150121065375305</v>
      </c>
      <c r="M16" s="83"/>
      <c r="N16" s="84">
        <f>(IF(F16=0,0,IF('A. History Input &amp; Output'!E18=0,"0",POWER('A. History Input &amp; Output'!M18/'A. History Input &amp; Output'!E18,1/4))))-1</f>
        <v>-0.36765161842032279</v>
      </c>
      <c r="O16" s="44"/>
      <c r="P16" s="84">
        <f>(IF(F16=0,0,IF('A. History Input &amp; Output'!E18=0,"0",POWER('A. History Input &amp; Output'!O18/'A. History Input &amp; Output'!E18,1/5))))-1</f>
        <v>-0.16003755341915427</v>
      </c>
      <c r="Q16"/>
    </row>
    <row r="17" spans="1:17" ht="14" customHeight="1" thickBot="1" x14ac:dyDescent="0.2">
      <c r="A17" s="44"/>
      <c r="B17" s="44" t="s">
        <v>21</v>
      </c>
      <c r="C17" s="80"/>
      <c r="D17" s="81">
        <f>IF('A. History Input &amp; Output'!E19=0,IF('A. History Input &amp; Output'!G19=0,0,1),'A. History Input &amp; Output'!G19/'A. History Input &amp; Output'!E19-1)</f>
        <v>0.2181177503127476</v>
      </c>
      <c r="E17" s="82"/>
      <c r="F17" s="81">
        <f>IF('A. History Input &amp; Output'!G19=0,IF('A. History Input &amp; Output'!I19=0,0,1),'A. History Input &amp; Output'!I19/'A. History Input &amp; Output'!G19-1)</f>
        <v>0.1339061517036686</v>
      </c>
      <c r="G17" s="82"/>
      <c r="H17" s="81">
        <f>IF('A. History Input &amp; Output'!I19=0,IF('A. History Input &amp; Output'!K19=0,0,1),'A. History Input &amp; Output'!K19/'A. History Input &amp; Output'!I19-1)</f>
        <v>0.12677999857742361</v>
      </c>
      <c r="I17" s="82"/>
      <c r="J17" s="81">
        <f>IF('A. History Input &amp; Output'!K19=0,IF('A. History Input &amp; Output'!M19=0,0,1),'A. History Input &amp; Output'!M19/'A. History Input &amp; Output'!K19-1)</f>
        <v>5.8450221150487591E-2</v>
      </c>
      <c r="K17" s="82"/>
      <c r="L17" s="81">
        <f>IF('A. History Input &amp; Output'!M19=0,IF('A. History Input &amp; Output'!O19=0,0,1),'A. History Input &amp; Output'!O19/'A. History Input &amp; Output'!M19-1)</f>
        <v>-0.14317522166116659</v>
      </c>
      <c r="M17" s="83"/>
      <c r="N17" s="84">
        <f>(IF(F17=0,0,IF('A. History Input &amp; Output'!E19=0,"0",POWER('A. History Input &amp; Output'!M19/'A. History Input &amp; Output'!E19,1/4))))-1</f>
        <v>0.13290628885361966</v>
      </c>
      <c r="O17" s="44"/>
      <c r="P17" s="84">
        <f>(IF(F17=0,0,IF('A. History Input &amp; Output'!E19=0,"0",POWER('A. History Input &amp; Output'!O19/'A. History Input &amp; Output'!E19,1/5))))-1</f>
        <v>7.1355475472047347E-2</v>
      </c>
      <c r="Q17"/>
    </row>
    <row r="18" spans="1:17" ht="14" customHeight="1" thickBot="1" x14ac:dyDescent="0.2">
      <c r="A18" s="44"/>
      <c r="B18" s="44" t="s">
        <v>47</v>
      </c>
      <c r="C18" s="80"/>
      <c r="D18" s="81">
        <f>IF('A. History Input &amp; Output'!E20=0,IF('A. History Input &amp; Output'!G20=0,0,1),'A. History Input &amp; Output'!G20/'A. History Input &amp; Output'!E20-1)</f>
        <v>-0.2523881640260951</v>
      </c>
      <c r="E18" s="82"/>
      <c r="F18" s="81">
        <f>IF('A. History Input &amp; Output'!G20=0,IF('A. History Input &amp; Output'!I20=0,0,1),'A. History Input &amp; Output'!I20/'A. History Input &amp; Output'!G20-1)</f>
        <v>4.8980651863394398E-2</v>
      </c>
      <c r="G18" s="82"/>
      <c r="H18" s="81">
        <f>IF('A. History Input &amp; Output'!I20=0,IF('A. History Input &amp; Output'!K20=0,0,1),'A. History Input &amp; Output'!K20/'A. History Input &amp; Output'!I20-1)</f>
        <v>-7.8334282389641241E-2</v>
      </c>
      <c r="I18" s="82"/>
      <c r="J18" s="81">
        <f>IF('A. History Input &amp; Output'!K20=0,IF('A. History Input &amp; Output'!M20=0,0,1),'A. History Input &amp; Output'!M20/'A. History Input &amp; Output'!K20-1)</f>
        <v>0.61412415719773272</v>
      </c>
      <c r="K18" s="82"/>
      <c r="L18" s="81">
        <f>IF('A. History Input &amp; Output'!M20=0,IF('A. History Input &amp; Output'!O20=0,0,1),'A. History Input &amp; Output'!O20/'A. History Input &amp; Output'!M20-1)</f>
        <v>-4.4708682121519794E-2</v>
      </c>
      <c r="M18" s="83"/>
      <c r="N18" s="84">
        <f>(IF(F18=0,0,IF('A. History Input &amp; Output'!E20=0,"0",POWER('A. History Input &amp; Output'!M20/'A. History Input &amp; Output'!E20,1/4))))-1</f>
        <v>3.9294201631002057E-2</v>
      </c>
      <c r="O18" s="44"/>
      <c r="P18" s="84">
        <f>(IF(F18=0,0,IF('A. History Input &amp; Output'!E20=0,"0",POWER('A. History Input &amp; Output'!O20/'A. History Input &amp; Output'!E20,1/5))))-1</f>
        <v>2.1922519581995425E-2</v>
      </c>
      <c r="Q18"/>
    </row>
    <row r="19" spans="1:17" ht="14" customHeight="1" thickBot="1" x14ac:dyDescent="0.2">
      <c r="A19" s="44"/>
      <c r="B19" s="44" t="s">
        <v>54</v>
      </c>
      <c r="C19" s="80"/>
      <c r="D19" s="81">
        <f>IF('A. History Input &amp; Output'!E21=0,IF('A. History Input &amp; Output'!G21=0,0,1),'A. History Input &amp; Output'!G21/'A. History Input &amp; Output'!E21-1)</f>
        <v>1</v>
      </c>
      <c r="E19" s="82"/>
      <c r="F19" s="81">
        <f>IF('A. History Input &amp; Output'!G21=0,IF('A. History Input &amp; Output'!I21=0,0,1),'A. History Input &amp; Output'!I21/'A. History Input &amp; Output'!G21-1)</f>
        <v>-2.4238532110091744</v>
      </c>
      <c r="G19" s="82"/>
      <c r="H19" s="81">
        <f>IF('A. History Input &amp; Output'!I21=0,IF('A. History Input &amp; Output'!K21=0,0,1),'A. History Input &amp; Output'!K21/'A. History Input &amp; Output'!I21-1)</f>
        <v>1.1469072164948453</v>
      </c>
      <c r="I19" s="82"/>
      <c r="J19" s="81">
        <f>IF('A. History Input &amp; Output'!K21=0,IF('A. History Input &amp; Output'!M21=0,0,1),'A. History Input &amp; Output'!M21/'A. History Input &amp; Output'!K21-1)</f>
        <v>-1.9807923169267707</v>
      </c>
      <c r="K19" s="82"/>
      <c r="L19" s="81">
        <f>IF('A. History Input &amp; Output'!M21=0,IF('A. History Input &amp; Output'!O21=0,0,1),'A. History Input &amp; Output'!O21/'A. History Input &amp; Output'!M21-1)</f>
        <v>-1</v>
      </c>
      <c r="M19" s="83"/>
      <c r="N19" s="84">
        <f>(IF(F19=0,0,IF('A. History Input &amp; Output'!E21=0,"0",POWER('A. History Input &amp; Output'!M21/'A. History Input &amp; Output'!E21,1/4))))-1</f>
        <v>-1</v>
      </c>
      <c r="O19" s="44"/>
      <c r="P19" s="84">
        <f>(IF(F19=0,0,IF('A. History Input &amp; Output'!E21=0,"0",POWER('A. History Input &amp; Output'!O21/'A. History Input &amp; Output'!E21,1/5))))-1</f>
        <v>-1</v>
      </c>
      <c r="Q19"/>
    </row>
    <row r="20" spans="1:17" ht="14" customHeight="1" thickBot="1" x14ac:dyDescent="0.2">
      <c r="A20" s="44"/>
      <c r="B20" s="44" t="s">
        <v>22</v>
      </c>
      <c r="C20" s="80"/>
      <c r="D20" s="81">
        <f>IF('A. History Input &amp; Output'!E22=0,IF('A. History Input &amp; Output'!G22=0,0,1),'A. History Input &amp; Output'!G22/'A. History Input &amp; Output'!E22-1)</f>
        <v>0.41308018696055893</v>
      </c>
      <c r="E20" s="82"/>
      <c r="F20" s="81">
        <f>IF('A. History Input &amp; Output'!G22=0,IF('A. History Input &amp; Output'!I22=0,0,1),'A. History Input &amp; Output'!I22/'A. History Input &amp; Output'!G22-1)</f>
        <v>-0.13464438997881756</v>
      </c>
      <c r="G20" s="82"/>
      <c r="H20" s="81">
        <f>IF('A. History Input &amp; Output'!I22=0,IF('A. History Input &amp; Output'!K22=0,0,1),'A. History Input &amp; Output'!K22/'A. History Input &amp; Output'!I22-1)</f>
        <v>-7.5158676504983757E-2</v>
      </c>
      <c r="I20" s="82"/>
      <c r="J20" s="81">
        <f>IF('A. History Input &amp; Output'!K22=0,IF('A. History Input &amp; Output'!M22=0,0,1),'A. History Input &amp; Output'!M22/'A. History Input &amp; Output'!K22-1)</f>
        <v>-0.17909961719007117</v>
      </c>
      <c r="K20" s="82"/>
      <c r="L20" s="81">
        <f>IF('A. History Input &amp; Output'!M22=0,IF('A. History Input &amp; Output'!O22=0,0,1),'A. History Input &amp; Output'!O22/'A. History Input &amp; Output'!M22-1)</f>
        <v>-0.88801765721206805</v>
      </c>
      <c r="M20" s="83"/>
      <c r="N20" s="84">
        <f>(IF(F20=0,0,IF('A. History Input &amp; Output'!E22=0,"0",POWER('A. History Input &amp; Output'!M22/'A. History Input &amp; Output'!E22,1/4))))-1</f>
        <v>-1.8410788818509327E-2</v>
      </c>
      <c r="O20" s="44"/>
      <c r="P20" s="84">
        <f>(IF(F20=0,0,IF('A. History Input &amp; Output'!E22=0,"0",POWER('A. History Input &amp; Output'!O22/'A. History Input &amp; Output'!E22,1/5))))-1</f>
        <v>-0.3641221005811528</v>
      </c>
      <c r="Q20"/>
    </row>
    <row r="21" spans="1:17" ht="14" customHeight="1" thickBot="1" x14ac:dyDescent="0.2">
      <c r="A21" s="44"/>
      <c r="B21" s="44" t="s">
        <v>23</v>
      </c>
      <c r="C21" s="80"/>
      <c r="D21" s="81">
        <f>IF('A. History Input &amp; Output'!E23=0,IF('A. History Input &amp; Output'!G23=0,0,1),'A. History Input &amp; Output'!G23/'A. History Input &amp; Output'!E23-1)</f>
        <v>3.1660817604097558E-2</v>
      </c>
      <c r="E21" s="82"/>
      <c r="F21" s="81">
        <f>IF('A. History Input &amp; Output'!G23=0,IF('A. History Input &amp; Output'!I23=0,0,1),'A. History Input &amp; Output'!I23/'A. History Input &amp; Output'!G23-1)</f>
        <v>0.22102088849661672</v>
      </c>
      <c r="G21" s="82"/>
      <c r="H21" s="81">
        <f>IF('A. History Input &amp; Output'!I23=0,IF('A. History Input &amp; Output'!K23=0,0,1),'A. History Input &amp; Output'!K23/'A. History Input &amp; Output'!I23-1)</f>
        <v>0.60699656647189926</v>
      </c>
      <c r="I21" s="82"/>
      <c r="J21" s="81">
        <f>IF('A. History Input &amp; Output'!K23=0,IF('A. History Input &amp; Output'!M23=0,0,1),'A. History Input &amp; Output'!M23/'A. History Input &amp; Output'!K23-1)</f>
        <v>-0.39944335635501493</v>
      </c>
      <c r="K21" s="82"/>
      <c r="L21" s="81">
        <f>IF('A. History Input &amp; Output'!M23=0,IF('A. History Input &amp; Output'!O23=0,0,1),'A. History Input &amp; Output'!O23/'A. History Input &amp; Output'!M23-1)</f>
        <v>-0.38660549886090567</v>
      </c>
      <c r="M21" s="83"/>
      <c r="N21" s="84">
        <f>(IF(F21=0,0,IF('A. History Input &amp; Output'!E23=0,"0",POWER('A. History Input &amp; Output'!M23/'A. History Input &amp; Output'!E23,1/4))))-1</f>
        <v>5.0043373673426039E-2</v>
      </c>
      <c r="O21" s="44"/>
      <c r="P21" s="84">
        <f>(IF(F21=0,0,IF('A. History Input &amp; Output'!E23=0,"0",POWER('A. History Input &amp; Output'!O23/'A. History Input &amp; Output'!E23,1/5))))-1</f>
        <v>-5.6995496947687796E-2</v>
      </c>
      <c r="Q21"/>
    </row>
    <row r="22" spans="1:17" ht="14" customHeight="1" thickBot="1" x14ac:dyDescent="0.2">
      <c r="A22" s="44"/>
      <c r="B22" s="52" t="s">
        <v>50</v>
      </c>
      <c r="C22" s="80"/>
      <c r="D22" s="81">
        <f>IF('A. History Input &amp; Output'!E24=0,IF('A. History Input &amp; Output'!G24=0,0,1),'A. History Input &amp; Output'!G24/'A. History Input &amp; Output'!E24-1)</f>
        <v>0</v>
      </c>
      <c r="E22" s="82"/>
      <c r="F22" s="81">
        <f>IF('A. History Input &amp; Output'!G24=0,IF('A. History Input &amp; Output'!I24=0,0,1),'A. History Input &amp; Output'!I24/'A. History Input &amp; Output'!G24-1)</f>
        <v>0</v>
      </c>
      <c r="G22" s="82"/>
      <c r="H22" s="81">
        <f>IF('A. History Input &amp; Output'!I24=0,IF('A. History Input &amp; Output'!K24=0,0,1),'A. History Input &amp; Output'!K24/'A. History Input &amp; Output'!I24-1)</f>
        <v>1</v>
      </c>
      <c r="I22" s="82"/>
      <c r="J22" s="81">
        <f>IF('A. History Input &amp; Output'!K24=0,IF('A. History Input &amp; Output'!M24=0,0,1),'A. History Input &amp; Output'!M24/'A. History Input &amp; Output'!K24-1)</f>
        <v>-1</v>
      </c>
      <c r="K22" s="82"/>
      <c r="L22" s="81">
        <f>IF('A. History Input &amp; Output'!M24=0,IF('A. History Input &amp; Output'!O24=0,0,1),'A. History Input &amp; Output'!O24/'A. History Input &amp; Output'!M24-1)</f>
        <v>0</v>
      </c>
      <c r="M22" s="83"/>
      <c r="N22" s="84">
        <f>(IF(F22=0,0,IF('A. History Input &amp; Output'!E24=0,"0",POWER('A. History Input &amp; Output'!M24/'A. History Input &amp; Output'!E24,1/4))))-1</f>
        <v>-1</v>
      </c>
      <c r="O22" s="44"/>
      <c r="P22" s="84">
        <f>(IF(F22=0,0,IF('A. History Input &amp; Output'!E24=0,"0",POWER('A. History Input &amp; Output'!O24/'A. History Input &amp; Output'!E24,1/5))))-1</f>
        <v>-1</v>
      </c>
      <c r="Q22"/>
    </row>
    <row r="23" spans="1:17" ht="14" customHeight="1" thickBot="1" x14ac:dyDescent="0.2">
      <c r="A23" s="44"/>
      <c r="B23" s="44" t="s">
        <v>28</v>
      </c>
      <c r="C23" s="80"/>
      <c r="D23" s="81">
        <f>IF('A. History Input &amp; Output'!E25=0,IF('A. History Input &amp; Output'!G25=0,0,1),'A. History Input &amp; Output'!G25/'A. History Input &amp; Output'!E25-1)</f>
        <v>3.1660817604097558E-2</v>
      </c>
      <c r="E23" s="82"/>
      <c r="F23" s="81">
        <f>IF('A. History Input &amp; Output'!G25=0,IF('A. History Input &amp; Output'!I25=0,0,1),'A. History Input &amp; Output'!I25/'A. History Input &amp; Output'!G25-1)</f>
        <v>0.22102088849661672</v>
      </c>
      <c r="G23" s="82"/>
      <c r="H23" s="81">
        <f>IF('A. History Input &amp; Output'!I25=0,IF('A. History Input &amp; Output'!K25=0,0,1),'A. History Input &amp; Output'!K25/'A. History Input &amp; Output'!I25-1)</f>
        <v>-0.35836696584543104</v>
      </c>
      <c r="I23" s="82"/>
      <c r="J23" s="81">
        <f>IF('A. History Input &amp; Output'!K25=0,IF('A. History Input &amp; Output'!M25=0,0,1),'A. History Input &amp; Output'!M25/'A. History Input &amp; Output'!K25-1)</f>
        <v>0.50411904147205866</v>
      </c>
      <c r="K23" s="82"/>
      <c r="L23" s="81">
        <f>IF('A. History Input &amp; Output'!M25=0,IF('A. History Input &amp; Output'!O25=0,0,1),'A. History Input &amp; Output'!O25/'A. History Input &amp; Output'!M25-1)</f>
        <v>-0.38660549886090567</v>
      </c>
      <c r="M23" s="83"/>
      <c r="N23" s="84">
        <f>(IF(F23=0,0,IF('A. History Input &amp; Output'!E25=0,"0",POWER('A. History Input &amp; Output'!M25/'A. History Input &amp; Output'!E25,1/4))))-1</f>
        <v>5.0043373673426039E-2</v>
      </c>
      <c r="O23" s="44"/>
      <c r="P23" s="84">
        <f>(IF(F23=0,0,IF('A. History Input &amp; Output'!E25=0,"0",POWER('A. History Input &amp; Output'!O25/'A. History Input &amp; Output'!E25,1/5))))-1</f>
        <v>-5.6995496947687796E-2</v>
      </c>
      <c r="Q23"/>
    </row>
    <row r="24" spans="1:17" ht="14" customHeight="1" thickBot="1" x14ac:dyDescent="0.2">
      <c r="A24" s="44"/>
      <c r="B24" s="44" t="s">
        <v>218</v>
      </c>
      <c r="C24" s="80"/>
      <c r="D24" s="81">
        <f>IF('A. History Input &amp; Output'!E26=0,IF('A. History Input &amp; Output'!G26=0,0,1),'A. History Input &amp; Output'!G26/'A. History Input &amp; Output'!E26-1)</f>
        <v>0.69265458329719887</v>
      </c>
      <c r="E24" s="82"/>
      <c r="F24" s="81">
        <f>IF('A. History Input &amp; Output'!G26=0,IF('A. History Input &amp; Output'!I26=0,0,1),'A. History Input &amp; Output'!I26/'A. History Input &amp; Output'!G26-1)</f>
        <v>-5.4257608361512499E-2</v>
      </c>
      <c r="G24" s="82"/>
      <c r="H24" s="81">
        <f>IF('A. History Input &amp; Output'!I26=0,IF('A. History Input &amp; Output'!K26=0,0,1),'A. History Input &amp; Output'!K26/'A. History Input &amp; Output'!I26-1)</f>
        <v>0.23121512541307765</v>
      </c>
      <c r="I24" s="82"/>
      <c r="J24" s="81">
        <f>IF('A. History Input &amp; Output'!K26=0,IF('A. History Input &amp; Output'!M26=0,0,1),'A. History Input &amp; Output'!M26/'A. History Input &amp; Output'!K26-1)</f>
        <v>8.8793065516786118E-2</v>
      </c>
      <c r="K24" s="82"/>
      <c r="L24" s="81">
        <f>IF('A. History Input &amp; Output'!M26=0,IF('A. History Input &amp; Output'!O26=0,0,1),'A. History Input &amp; Output'!O26/'A. History Input &amp; Output'!M26-1)</f>
        <v>-0.9757526773085472</v>
      </c>
      <c r="M24" s="83"/>
      <c r="N24" s="84">
        <f>(IF(F24=0,0,IF('A. History Input &amp; Output'!E26=0,"0",POWER('A. History Input &amp; Output'!M26/'A. History Input &amp; Output'!E26,1/4))))-1</f>
        <v>0.21033368813004905</v>
      </c>
      <c r="O24" s="44"/>
      <c r="P24" s="84">
        <f>(IF(F24=0,0,IF('A. History Input &amp; Output'!E26=0,"0",POWER('A. History Input &amp; Output'!O26/'A. History Input &amp; Output'!E26,1/5))))-1</f>
        <v>-0.44632252503109993</v>
      </c>
      <c r="Q24"/>
    </row>
    <row r="25" spans="1:17" ht="14" customHeight="1" x14ac:dyDescent="0.15">
      <c r="A25" s="44"/>
      <c r="B25" s="352" t="s">
        <v>201</v>
      </c>
      <c r="C25" s="80"/>
      <c r="D25" s="90">
        <f>IF('A. History Input &amp; Output'!E27=0,IF('A. History Input &amp; Output'!G27=0,0,1),'A. History Input &amp; Output'!G27/'A. History Input &amp; Output'!E27-1)</f>
        <v>0</v>
      </c>
      <c r="E25" s="82"/>
      <c r="F25" s="90">
        <f>IF('A. History Input &amp; Output'!G27=0,IF('A. History Input &amp; Output'!I27=0,0,1),'A. History Input &amp; Output'!I27/'A. History Input &amp; Output'!G27-1)</f>
        <v>0</v>
      </c>
      <c r="G25" s="82"/>
      <c r="H25" s="90">
        <f>IF('A. History Input &amp; Output'!I27=0,IF('A. History Input &amp; Output'!K27=0,0,1),'A. History Input &amp; Output'!K27/'A. History Input &amp; Output'!I27-1)</f>
        <v>0</v>
      </c>
      <c r="I25" s="82"/>
      <c r="J25" s="90">
        <f>IF('A. History Input &amp; Output'!K27=0,IF('A. History Input &amp; Output'!M27=0,0,1),'A. History Input &amp; Output'!M27/'A. History Input &amp; Output'!K27-1)</f>
        <v>0</v>
      </c>
      <c r="K25" s="85"/>
      <c r="L25" s="90">
        <f>IF('A. History Input &amp; Output'!M27=0,IF('A. History Input &amp; Output'!O27=0,0,1),'A. History Input &amp; Output'!O27/'A. History Input &amp; Output'!M27-1)</f>
        <v>1</v>
      </c>
      <c r="M25" s="83"/>
      <c r="N25" s="84">
        <f>(IF(F25=0,0,IF('A. History Input &amp; Output'!E27=0,"0",POWER('A. History Input &amp; Output'!M27/'A. History Input &amp; Output'!E27,1/4))))-1</f>
        <v>-1</v>
      </c>
      <c r="O25" s="44"/>
      <c r="P25" s="84">
        <f>(IF(F25=0,0,IF('A. History Input &amp; Output'!E27=0,"0",POWER('A. History Input &amp; Output'!O27/'A. History Input &amp; Output'!E27,1/5))))-1</f>
        <v>-1</v>
      </c>
      <c r="Q25"/>
    </row>
    <row r="26" spans="1:17" s="7" customFormat="1" ht="15" customHeight="1" x14ac:dyDescent="0.15">
      <c r="A26" s="29"/>
      <c r="B26" s="77" t="s">
        <v>34</v>
      </c>
      <c r="C26" s="91"/>
      <c r="D26" s="92">
        <f>IF('A. History Input &amp; Output'!E28=0,IF('A. History Input &amp; Output'!G28=0,0,1),'A. History Input &amp; Output'!G28/'A. History Input &amp; Output'!E28-1)</f>
        <v>0.20307221446065449</v>
      </c>
      <c r="E26" s="93"/>
      <c r="F26" s="92">
        <f>IF('A. History Input &amp; Output'!G28=0,IF('A. History Input &amp; Output'!I28=0,0,1),'A. History Input &amp; Output'!I28/'A. History Input &amp; Output'!G28-1)</f>
        <v>-1.156151424036711E-2</v>
      </c>
      <c r="G26" s="93"/>
      <c r="H26" s="92">
        <f>IF('A. History Input &amp; Output'!I28=0,IF('A. History Input &amp; Output'!K28=0,0,1),'A. History Input &amp; Output'!K28/'A. History Input &amp; Output'!I28-1)</f>
        <v>-2.5786270110964016E-2</v>
      </c>
      <c r="I26" s="93"/>
      <c r="J26" s="92">
        <f>IF('A. History Input &amp; Output'!K28=0,IF('A. History Input &amp; Output'!M28=0,0,1),'A. History Input &amp; Output'!M28/'A. History Input &amp; Output'!K28-1)</f>
        <v>2.8285085831215362E-2</v>
      </c>
      <c r="K26" s="94"/>
      <c r="L26" s="92">
        <f>IF('A. History Input &amp; Output'!M28=0,IF('A. History Input &amp; Output'!O28=0,0,1),'A. History Input &amp; Output'!O28/'A. History Input &amp; Output'!M28-1)</f>
        <v>-0.20419387120175947</v>
      </c>
      <c r="M26" s="95"/>
      <c r="N26" s="96">
        <f>(IF(F26=0,0,IF('A. History Input &amp; Output'!E28=0,"0",POWER('A. History Input &amp; Output'!M28/'A. History Input &amp; Output'!E28,1/4))))-1</f>
        <v>4.4725707621590338E-2</v>
      </c>
      <c r="O26" s="97"/>
      <c r="P26" s="96">
        <f>(IF(F26=0,0,IF('A. History Input &amp; Output'!E28=0,"0",POWER('A. History Input &amp; Output'!O28/'A. History Input &amp; Output'!E28,1/5))))-1</f>
        <v>-1.0619648848582242E-2</v>
      </c>
      <c r="Q26"/>
    </row>
    <row r="27" spans="1:17" ht="15" customHeight="1" x14ac:dyDescent="0.15">
      <c r="A27" s="44"/>
      <c r="B27" s="44" t="s">
        <v>24</v>
      </c>
      <c r="C27" s="80"/>
      <c r="D27" s="90">
        <f>IF('A. History Input &amp; Output'!E29=0,IF('A. History Input &amp; Output'!G29=0,0,1),'A. History Input &amp; Output'!G29/'A. History Input &amp; Output'!E29-1)</f>
        <v>0</v>
      </c>
      <c r="E27" s="82"/>
      <c r="F27" s="90">
        <f>IF('A. History Input &amp; Output'!G29=0,IF('A. History Input &amp; Output'!I29=0,0,1),'A. History Input &amp; Output'!I29/'A. History Input &amp; Output'!G29-1)</f>
        <v>0</v>
      </c>
      <c r="G27" s="82"/>
      <c r="H27" s="90">
        <f>IF('A. History Input &amp; Output'!I29=0,IF('A. History Input &amp; Output'!K29=0,0,1),'A. History Input &amp; Output'!K29/'A. History Input &amp; Output'!I29-1)</f>
        <v>0</v>
      </c>
      <c r="I27" s="82"/>
      <c r="J27" s="90">
        <f>IF('A. History Input &amp; Output'!K29=0,IF('A. History Input &amp; Output'!M29=0,0,1),'A. History Input &amp; Output'!M29/'A. History Input &amp; Output'!K29-1)</f>
        <v>0</v>
      </c>
      <c r="K27" s="82"/>
      <c r="L27" s="90">
        <f>IF('A. History Input &amp; Output'!M29=0,IF('A. History Input &amp; Output'!O29=0,0,1),'A. History Input &amp; Output'!O29/'A. History Input &amp; Output'!M29-1)</f>
        <v>0</v>
      </c>
      <c r="M27" s="83"/>
      <c r="N27" s="84">
        <f>(IF(F27=0,0,IF('A. History Input &amp; Output'!E29=0,"0",POWER('A. History Input &amp; Output'!M29/'A. History Input &amp; Output'!E29,1/4))))-1</f>
        <v>-1</v>
      </c>
      <c r="O27" s="44"/>
      <c r="P27" s="84">
        <f>(IF(F27=0,0,IF('A. History Input &amp; Output'!E29=0,"0",POWER('A. History Input &amp; Output'!O29/'A. History Input &amp; Output'!E29,1/5))))-1</f>
        <v>-1</v>
      </c>
      <c r="Q27"/>
    </row>
    <row r="28" spans="1:17" s="7" customFormat="1" ht="15" customHeight="1" thickBot="1" x14ac:dyDescent="0.2">
      <c r="A28" s="78" t="s">
        <v>36</v>
      </c>
      <c r="B28" s="78"/>
      <c r="C28" s="98"/>
      <c r="D28" s="99">
        <f>IF('A. History Input &amp; Output'!E30=0,IF('A. History Input &amp; Output'!G30=0,0,1),'A. History Input &amp; Output'!G30/'A. History Input &amp; Output'!E30-1)</f>
        <v>5.7654451658068595E-2</v>
      </c>
      <c r="E28" s="100"/>
      <c r="F28" s="99">
        <f>IF('A. History Input &amp; Output'!G30=0,IF('A. History Input &amp; Output'!I30=0,0,1),'A. History Input &amp; Output'!I30/'A. History Input &amp; Output'!G30-1)</f>
        <v>2.288212855250582E-2</v>
      </c>
      <c r="G28" s="100"/>
      <c r="H28" s="99">
        <f>IF('A. History Input &amp; Output'!I30=0,IF('A. History Input &amp; Output'!K30=0,0,1),'A. History Input &amp; Output'!K30/'A. History Input &amp; Output'!I30-1)</f>
        <v>-1.1788695547674033E-2</v>
      </c>
      <c r="I28" s="100"/>
      <c r="J28" s="99">
        <f>IF('A. History Input &amp; Output'!K30=0,IF('A. History Input &amp; Output'!M30=0,0,1),'A. History Input &amp; Output'!M30/'A. History Input &amp; Output'!K30-1)</f>
        <v>-7.3456994632855377E-2</v>
      </c>
      <c r="K28" s="101"/>
      <c r="L28" s="99">
        <f>IF('A. History Input &amp; Output'!M30=0,IF('A. History Input &amp; Output'!O30=0,0,1),'A. History Input &amp; Output'!O30/'A. History Input &amp; Output'!M30-1)</f>
        <v>-0.16507512363554988</v>
      </c>
      <c r="M28" s="102"/>
      <c r="N28" s="103">
        <f>(IF(F28=0,0,IF('A. History Input &amp; Output'!E30=0,"0",POWER('A. History Input &amp; Output'!M30/'A. History Input &amp; Output'!E30,1/4))))-1</f>
        <v>-2.366100532959492E-3</v>
      </c>
      <c r="O28" s="104"/>
      <c r="P28" s="103">
        <f>(IF(F28=0,0,IF('A. History Input &amp; Output'!E30=0,"0",POWER('A. History Input &amp; Output'!O30/'A. History Input &amp; Output'!E30,1/5))))-1</f>
        <v>-3.7265714234921754E-2</v>
      </c>
      <c r="Q28"/>
    </row>
    <row r="29" spans="1:17" ht="15" customHeight="1" thickTop="1" x14ac:dyDescent="0.15">
      <c r="A29" s="51" t="s">
        <v>37</v>
      </c>
      <c r="B29" s="44"/>
      <c r="C29" s="80"/>
      <c r="D29" s="86"/>
      <c r="E29" s="82"/>
      <c r="F29" s="86"/>
      <c r="G29" s="82"/>
      <c r="H29" s="86"/>
      <c r="I29" s="82"/>
      <c r="J29" s="86"/>
      <c r="K29" s="82"/>
      <c r="L29" s="86"/>
      <c r="M29" s="83"/>
      <c r="N29" s="87"/>
      <c r="O29" s="44"/>
      <c r="P29" s="87"/>
      <c r="Q29"/>
    </row>
    <row r="30" spans="1:17" ht="14" customHeight="1" thickBot="1" x14ac:dyDescent="0.2">
      <c r="A30" s="44"/>
      <c r="B30" s="44" t="s">
        <v>25</v>
      </c>
      <c r="C30" s="80"/>
      <c r="D30" s="81">
        <f>IF('A. History Input &amp; Output'!E34=0,IF('A. History Input &amp; Output'!G34=0,0,1),'A. History Input &amp; Output'!G34/'A. History Input &amp; Output'!E34-1)</f>
        <v>1.9133672787750244E-2</v>
      </c>
      <c r="E30" s="82"/>
      <c r="F30" s="81">
        <f>IF('A. History Input &amp; Output'!G34=0,IF('A. History Input &amp; Output'!I34=0,0,1),'A. History Input &amp; Output'!I34/'A. History Input &amp; Output'!G34-1)</f>
        <v>7.5757757565576345E-2</v>
      </c>
      <c r="G30" s="82"/>
      <c r="H30" s="81">
        <f>IF('A. History Input &amp; Output'!I34=0,IF('A. History Input &amp; Output'!K34=0,0,1),'A. History Input &amp; Output'!K34/'A. History Input &amp; Output'!I34-1)</f>
        <v>-8.5669230297317989E-2</v>
      </c>
      <c r="I30" s="82"/>
      <c r="J30" s="81">
        <f>IF('A. History Input &amp; Output'!K34=0,IF('A. History Input &amp; Output'!M34=0,0,1),'A. History Input &amp; Output'!M34/'A. History Input &amp; Output'!K34-1)</f>
        <v>-0.14006456541861545</v>
      </c>
      <c r="K30" s="82"/>
      <c r="L30" s="81">
        <f>IF('A. History Input &amp; Output'!M34=0,IF('A. History Input &amp; Output'!O34=0,0,1),'A. History Input &amp; Output'!O34/'A. History Input &amp; Output'!M34-1)</f>
        <v>8.9351484876374121E-2</v>
      </c>
      <c r="M30" s="83"/>
      <c r="N30" s="84">
        <f>(IF(F30=0,0,IF('A. History Input &amp; Output'!E34=0,"0",POWER('A. History Input &amp; Output'!M34/'A. History Input &amp; Output'!E34,1/4))))-1</f>
        <v>-3.644012977497546E-2</v>
      </c>
      <c r="O30" s="44"/>
      <c r="P30" s="84">
        <f>(IF(F30=0,0,IF('A. History Input &amp; Output'!E34=0,"0",POWER('A. History Input &amp; Output'!O34/'A. History Input &amp; Output'!E34,1/5))))-1</f>
        <v>-1.2501215994257908E-2</v>
      </c>
      <c r="Q30"/>
    </row>
    <row r="31" spans="1:17" ht="15" customHeight="1" thickBot="1" x14ac:dyDescent="0.2">
      <c r="A31" s="44"/>
      <c r="B31" s="44" t="s">
        <v>26</v>
      </c>
      <c r="C31" s="80"/>
      <c r="D31" s="81">
        <f>IF('A. History Input &amp; Output'!E35=0,IF('A. History Input &amp; Output'!G35=0,0,1),'A. History Input &amp; Output'!G35/'A. History Input &amp; Output'!E35-1)</f>
        <v>0.14141036775708038</v>
      </c>
      <c r="E31" s="82"/>
      <c r="F31" s="81">
        <f>IF('A. History Input &amp; Output'!G35=0,IF('A. History Input &amp; Output'!I35=0,0,1),'A. History Input &amp; Output'!I35/'A. History Input &amp; Output'!G35-1)</f>
        <v>-2.2798478189348992E-2</v>
      </c>
      <c r="G31" s="82"/>
      <c r="H31" s="81">
        <f>IF('A. History Input &amp; Output'!I35=0,IF('A. History Input &amp; Output'!K35=0,0,1),'A. History Input &amp; Output'!K35/'A. History Input &amp; Output'!I35-1)</f>
        <v>0.14014799672653067</v>
      </c>
      <c r="I31" s="82"/>
      <c r="J31" s="81">
        <f>IF('A. History Input &amp; Output'!K35=0,IF('A. History Input &amp; Output'!M35=0,0,1),'A. History Input &amp; Output'!M35/'A. History Input &amp; Output'!K35-1)</f>
        <v>-0.19722552000678406</v>
      </c>
      <c r="K31" s="82"/>
      <c r="L31" s="81">
        <f>IF('A. History Input &amp; Output'!M35=0,IF('A. History Input &amp; Output'!O35=0,0,1),'A. History Input &amp; Output'!O35/'A. History Input &amp; Output'!M35-1)</f>
        <v>-0.31725434938024988</v>
      </c>
      <c r="M31" s="83"/>
      <c r="N31" s="84">
        <f>(IF(F31=0,0,IF('A. History Input &amp; Output'!E35=0,"0",POWER('A. History Input &amp; Output'!M35/'A. History Input &amp; Output'!E35,1/4))))-1</f>
        <v>5.1831122223757742E-3</v>
      </c>
      <c r="O31" s="44"/>
      <c r="P31" s="84">
        <f>(IF(F31=0,0,IF('A. History Input &amp; Output'!E35=0,"0",POWER('A. History Input &amp; Output'!O35/'A. History Input &amp; Output'!E35,1/5))))-1</f>
        <v>-6.9646629664852355E-2</v>
      </c>
      <c r="Q31"/>
    </row>
    <row r="32" spans="1:17" ht="14" customHeight="1" thickBot="1" x14ac:dyDescent="0.2">
      <c r="A32" s="44"/>
      <c r="B32" s="52" t="s">
        <v>51</v>
      </c>
      <c r="C32" s="80"/>
      <c r="D32" s="81"/>
      <c r="E32" s="82"/>
      <c r="F32" s="81"/>
      <c r="G32" s="82"/>
      <c r="H32" s="81"/>
      <c r="I32" s="82"/>
      <c r="J32" s="81"/>
      <c r="K32" s="82"/>
      <c r="L32" s="81"/>
      <c r="M32" s="83"/>
      <c r="N32" s="84"/>
      <c r="O32" s="44"/>
      <c r="P32" s="84"/>
      <c r="Q32"/>
    </row>
    <row r="33" spans="1:17" ht="14" customHeight="1" thickBot="1" x14ac:dyDescent="0.2">
      <c r="A33" s="44"/>
      <c r="B33" s="44" t="s">
        <v>29</v>
      </c>
      <c r="C33" s="80"/>
      <c r="D33" s="81">
        <f>IF('A. History Input &amp; Output'!E37=0,IF('A. History Input &amp; Output'!G37=0,0,1),'A. History Input &amp; Output'!G37/'A. History Input &amp; Output'!E37-1)</f>
        <v>0.14141036775708038</v>
      </c>
      <c r="E33" s="82"/>
      <c r="F33" s="81">
        <f>IF('A. History Input &amp; Output'!G37=0,IF('A. History Input &amp; Output'!I37=0,0,1),'A. History Input &amp; Output'!I37/'A. History Input &amp; Output'!G37-1)</f>
        <v>-2.2798478189348992E-2</v>
      </c>
      <c r="G33" s="82"/>
      <c r="H33" s="81">
        <f>IF('A. History Input &amp; Output'!I37=0,IF('A. History Input &amp; Output'!K37=0,0,1),'A. History Input &amp; Output'!K37/'A. History Input &amp; Output'!I37-1)</f>
        <v>2.9471583316355909E-2</v>
      </c>
      <c r="I33" s="82"/>
      <c r="J33" s="81">
        <f>IF('A. History Input &amp; Output'!K37=0,IF('A. History Input &amp; Output'!M37=0,0,1),'A. History Input &amp; Output'!M37/'A. History Input &amp; Output'!K37-1)</f>
        <v>-0.11092085491185233</v>
      </c>
      <c r="K33" s="82"/>
      <c r="L33" s="81">
        <f>IF('A. History Input &amp; Output'!M37=0,IF('A. History Input &amp; Output'!O37=0,0,1),'A. History Input &amp; Output'!O37/'A. History Input &amp; Output'!M37-1)</f>
        <v>-0.31725434938024988</v>
      </c>
      <c r="M33" s="83"/>
      <c r="N33" s="84">
        <f>(IF(F33=0,0,IF('A. History Input &amp; Output'!E37=0,"0",POWER('A. History Input &amp; Output'!M37/'A. History Input &amp; Output'!E37,1/4))))-1</f>
        <v>5.1831122223757742E-3</v>
      </c>
      <c r="O33" s="44"/>
      <c r="P33" s="84">
        <f>(IF(F33=0,0,IF('A. History Input &amp; Output'!E37=0,"0",POWER('A. History Input &amp; Output'!O37/'A. History Input &amp; Output'!E37,1/5))))-1</f>
        <v>-6.9646629664852355E-2</v>
      </c>
      <c r="Q33"/>
    </row>
    <row r="34" spans="1:17" s="7" customFormat="1" ht="14" customHeight="1" thickBot="1" x14ac:dyDescent="0.2">
      <c r="A34" s="7" t="s">
        <v>35</v>
      </c>
      <c r="C34" s="26"/>
      <c r="D34" s="45">
        <f>IF('A. History Input &amp; Output'!E38=0,IF('A. History Input &amp; Output'!G38=0,0,1),'A. History Input &amp; Output'!G38/'A. History Input &amp; Output'!E38-1)</f>
        <v>7.3243457438196158E-2</v>
      </c>
      <c r="E34" s="38"/>
      <c r="F34" s="45">
        <f>IF('A. History Input &amp; Output'!G38=0,IF('A. History Input &amp; Output'!I38=0,0,1),'A. History Input &amp; Output'!I38/'A. History Input &amp; Output'!G38-1)</f>
        <v>2.9374656091419871E-2</v>
      </c>
      <c r="G34" s="38"/>
      <c r="H34" s="45">
        <f>IF('A. History Input &amp; Output'!I38=0,IF('A. History Input &amp; Output'!K38=0,0,1),'A. History Input &amp; Output'!K38/'A. History Input &amp; Output'!I38-1)</f>
        <v>-3.4227492143713345E-2</v>
      </c>
      <c r="I34" s="38"/>
      <c r="J34" s="45">
        <f>IF('A. History Input &amp; Output'!K38=0,IF('A. History Input &amp; Output'!M38=0,0,1),'A. History Input &amp; Output'!M38/'A. History Input &amp; Output'!K38-1)</f>
        <v>-0.12618516486281195</v>
      </c>
      <c r="K34" s="39"/>
      <c r="L34" s="45">
        <f>IF('A. History Input &amp; Output'!M38=0,IF('A. History Input &amp; Output'!O38=0,0,1),'A. History Input &amp; Output'!O38/'A. History Input &amp; Output'!M38-1)</f>
        <v>-0.10767312705428989</v>
      </c>
      <c r="M34" s="28"/>
      <c r="N34" s="42">
        <f>(IF(F34=0,0,IF('A. History Input &amp; Output'!E38=0,"0",POWER('A. History Input &amp; Output'!M38/'A. History Input &amp; Output'!E38,1/4))))-1</f>
        <v>-1.7366664625996009E-2</v>
      </c>
      <c r="O34"/>
      <c r="P34" s="42">
        <f>(IF(D34=0,0,IF('A. History Input &amp; Output'!C38=0,"0",POWER('A. History Input &amp; Output'!M38/'A. History Input &amp; Output'!C38,1/5))))-1</f>
        <v>-2.0481612040899488E-2</v>
      </c>
      <c r="Q34"/>
    </row>
    <row r="35" spans="1:17" ht="14" customHeight="1" x14ac:dyDescent="0.15">
      <c r="A35" s="37" t="s">
        <v>39</v>
      </c>
    </row>
    <row r="36" spans="1:17" ht="14" customHeight="1" x14ac:dyDescent="0.15">
      <c r="B36" s="37" t="s">
        <v>94</v>
      </c>
    </row>
  </sheetData>
  <mergeCells count="1">
    <mergeCell ref="A2:M2"/>
  </mergeCells>
  <phoneticPr fontId="2" type="noConversion"/>
  <conditionalFormatting sqref="N30:N34 P30:P34 N6:N28 P6:P28">
    <cfRule type="cellIs" dxfId="0" priority="6" operator="lessThan">
      <formula>1</formula>
    </cfRule>
  </conditionalFormatting>
  <printOptions horizontalCentered="1" verticalCentered="1" gridLines="1"/>
  <pageMargins left="0.45" right="0.45" top="1" bottom="1" header="0.5" footer="0.5"/>
  <pageSetup scale="94" orientation="landscape"/>
  <headerFooter alignWithMargins="0">
    <oddFooter>&amp;C&amp;8&amp;D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2:T37"/>
  <sheetViews>
    <sheetView showRuler="0" topLeftCell="A2" zoomScaleNormal="100" zoomScalePageLayoutView="125" workbookViewId="0">
      <pane xSplit="2" ySplit="5" topLeftCell="C7" activePane="bottomRight" state="frozen"/>
      <selection activeCell="A2" sqref="A2"/>
      <selection pane="topRight" activeCell="C2" sqref="C2"/>
      <selection pane="bottomLeft" activeCell="A7" sqref="A7"/>
      <selection pane="bottomRight" activeCell="E31" sqref="E31"/>
    </sheetView>
  </sheetViews>
  <sheetFormatPr baseColWidth="10" defaultColWidth="9.1640625" defaultRowHeight="16" x14ac:dyDescent="0.2"/>
  <cols>
    <col min="1" max="1" width="2" style="34" customWidth="1"/>
    <col min="2" max="2" width="45.5" style="34" customWidth="1"/>
    <col min="3" max="3" width="13" style="34" customWidth="1"/>
    <col min="4" max="4" width="2.6640625" style="34" customWidth="1"/>
    <col min="5" max="5" width="11.83203125" style="34" customWidth="1"/>
    <col min="6" max="6" width="3" style="34" customWidth="1"/>
    <col min="7" max="7" width="11.83203125" style="34" customWidth="1"/>
    <col min="8" max="8" width="2.6640625" style="34" customWidth="1"/>
    <col min="9" max="9" width="14.1640625" style="34" customWidth="1"/>
    <col min="10" max="10" width="3" style="34" customWidth="1"/>
    <col min="11" max="11" width="13.33203125" style="34" customWidth="1"/>
    <col min="12" max="12" width="3" style="34" customWidth="1"/>
    <col min="13" max="13" width="13.5" style="34" customWidth="1"/>
    <col min="14" max="14" width="2.6640625" style="34" customWidth="1"/>
    <col min="15" max="15" width="9.1640625" style="34"/>
    <col min="16" max="16" width="12.6640625" style="34" customWidth="1"/>
    <col min="17" max="17" width="11.83203125" style="34" customWidth="1"/>
    <col min="18" max="18" width="12.33203125" style="34" customWidth="1"/>
    <col min="19" max="19" width="12" style="34" customWidth="1"/>
    <col min="20" max="20" width="15" style="34" customWidth="1"/>
    <col min="21" max="16384" width="9.1640625" style="34"/>
  </cols>
  <sheetData>
    <row r="2" spans="1:20" ht="16" customHeight="1" x14ac:dyDescent="0.2">
      <c r="A2" s="289" t="s">
        <v>43</v>
      </c>
      <c r="E2" s="283"/>
    </row>
    <row r="3" spans="1:20" ht="19" x14ac:dyDescent="0.3">
      <c r="A3" s="391" t="str">
        <f>Setup!B6&amp;" Council Endowment History &amp; Assumptions"</f>
        <v>Sample Council- #0325 Council Endowment History &amp; Assumptions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</row>
    <row r="4" spans="1:20" ht="8" customHeight="1" x14ac:dyDescent="0.2">
      <c r="M4" s="296"/>
    </row>
    <row r="5" spans="1:20" ht="22" customHeight="1" x14ac:dyDescent="0.2">
      <c r="C5" s="304" t="s">
        <v>113</v>
      </c>
      <c r="D5" s="305"/>
      <c r="E5" s="304" t="s">
        <v>113</v>
      </c>
      <c r="F5" s="305"/>
      <c r="G5" s="304" t="s">
        <v>113</v>
      </c>
      <c r="H5" s="305"/>
      <c r="I5" s="304" t="s">
        <v>113</v>
      </c>
      <c r="J5" s="305"/>
      <c r="K5" s="304" t="s">
        <v>113</v>
      </c>
      <c r="L5" s="306"/>
      <c r="M5" s="304"/>
      <c r="N5" s="306"/>
    </row>
    <row r="6" spans="1:20" ht="15" customHeight="1" x14ac:dyDescent="0.2">
      <c r="A6" s="33" t="s">
        <v>4</v>
      </c>
      <c r="C6" s="307">
        <f>Setup!$B4-5</f>
        <v>2017</v>
      </c>
      <c r="D6" s="307"/>
      <c r="E6" s="307">
        <f>Setup!$B4-4</f>
        <v>2018</v>
      </c>
      <c r="F6" s="307"/>
      <c r="G6" s="307">
        <f>Setup!$B4-3</f>
        <v>2019</v>
      </c>
      <c r="H6" s="307"/>
      <c r="I6" s="307">
        <f>Setup!$B4-2</f>
        <v>2020</v>
      </c>
      <c r="J6" s="307"/>
      <c r="K6" s="307">
        <f>Setup!$B4-1</f>
        <v>2021</v>
      </c>
      <c r="L6" s="307"/>
      <c r="M6" s="307"/>
      <c r="N6" s="306"/>
    </row>
    <row r="7" spans="1:20" ht="6" customHeight="1" x14ac:dyDescent="0.2">
      <c r="A7" s="33"/>
      <c r="C7" s="308"/>
      <c r="D7" s="306"/>
      <c r="E7" s="113"/>
      <c r="F7" s="306"/>
      <c r="G7" s="113"/>
      <c r="H7" s="306"/>
      <c r="I7" s="113"/>
      <c r="J7" s="306"/>
      <c r="K7" s="113"/>
      <c r="L7" s="306"/>
      <c r="M7" s="309"/>
      <c r="N7" s="306"/>
    </row>
    <row r="8" spans="1:20" ht="15" customHeight="1" thickBot="1" x14ac:dyDescent="0.25">
      <c r="A8" s="35" t="s">
        <v>121</v>
      </c>
      <c r="C8" s="310">
        <v>8155702.4100000001</v>
      </c>
      <c r="D8" s="133"/>
      <c r="E8" s="311">
        <f>C12</f>
        <v>10044082.789999999</v>
      </c>
      <c r="F8" s="312"/>
      <c r="G8" s="311">
        <f>E12</f>
        <v>9717468.7899999991</v>
      </c>
      <c r="H8" s="312"/>
      <c r="I8" s="311">
        <f>G12</f>
        <v>10221116.789999999</v>
      </c>
      <c r="J8" s="312"/>
      <c r="K8" s="311">
        <f>I12</f>
        <v>11671712.789999999</v>
      </c>
      <c r="L8" s="115"/>
      <c r="M8" s="313"/>
      <c r="N8" s="115"/>
    </row>
    <row r="9" spans="1:20" ht="15" customHeight="1" thickBot="1" x14ac:dyDescent="0.25">
      <c r="B9" s="34" t="s">
        <v>57</v>
      </c>
      <c r="C9" s="122">
        <v>1888380.38</v>
      </c>
      <c r="D9" s="115"/>
      <c r="E9" s="122">
        <f>9717469-10044083</f>
        <v>-326614</v>
      </c>
      <c r="F9" s="115"/>
      <c r="G9" s="122">
        <v>503648</v>
      </c>
      <c r="H9" s="115"/>
      <c r="I9" s="122">
        <v>1700596</v>
      </c>
      <c r="J9" s="115"/>
      <c r="K9" s="122">
        <f>-1318517+1</f>
        <v>-1318516</v>
      </c>
      <c r="L9" s="115"/>
      <c r="M9" s="314"/>
      <c r="N9" s="115"/>
    </row>
    <row r="10" spans="1:20" ht="15" customHeight="1" x14ac:dyDescent="0.2">
      <c r="B10" s="123" t="s">
        <v>56</v>
      </c>
      <c r="C10" s="121"/>
      <c r="D10" s="115"/>
      <c r="E10" s="121"/>
      <c r="F10" s="115"/>
      <c r="G10" s="121">
        <v>0</v>
      </c>
      <c r="H10" s="115"/>
      <c r="I10" s="121">
        <f>-250000</f>
        <v>-250000</v>
      </c>
      <c r="J10" s="115"/>
      <c r="K10" s="121">
        <v>0</v>
      </c>
      <c r="L10" s="115"/>
      <c r="M10" s="314"/>
      <c r="N10" s="115"/>
    </row>
    <row r="11" spans="1:20" ht="15" customHeight="1" x14ac:dyDescent="0.2">
      <c r="B11" s="123" t="s">
        <v>58</v>
      </c>
      <c r="C11" s="315">
        <v>0</v>
      </c>
      <c r="D11" s="115"/>
      <c r="E11" s="315">
        <v>0</v>
      </c>
      <c r="F11" s="115"/>
      <c r="G11" s="315">
        <v>0</v>
      </c>
      <c r="H11" s="115"/>
      <c r="I11" s="315">
        <v>0</v>
      </c>
      <c r="J11" s="115"/>
      <c r="K11" s="316">
        <f>-27000</f>
        <v>-27000</v>
      </c>
      <c r="L11" s="115"/>
      <c r="M11" s="314"/>
      <c r="N11" s="115"/>
      <c r="P11" s="277"/>
      <c r="Q11" s="277"/>
      <c r="R11" s="277"/>
      <c r="S11" s="277"/>
      <c r="T11" s="277"/>
    </row>
    <row r="12" spans="1:20" s="35" customFormat="1" ht="15" customHeight="1" x14ac:dyDescent="0.2">
      <c r="A12" s="35" t="s">
        <v>122</v>
      </c>
      <c r="C12" s="132">
        <f>SUM(C8:C11)</f>
        <v>10044082.789999999</v>
      </c>
      <c r="D12" s="115"/>
      <c r="E12" s="132">
        <f>SUM(E8:E11)</f>
        <v>9717468.7899999991</v>
      </c>
      <c r="F12" s="133"/>
      <c r="G12" s="132">
        <f>SUM(G8:G11)</f>
        <v>10221116.789999999</v>
      </c>
      <c r="H12" s="133"/>
      <c r="I12" s="132">
        <f>SUM(I8:I11)</f>
        <v>11671712.789999999</v>
      </c>
      <c r="J12" s="133"/>
      <c r="K12" s="132">
        <f>SUM(K8:K11)</f>
        <v>10326196.789999999</v>
      </c>
      <c r="L12" s="133"/>
      <c r="M12" s="132"/>
      <c r="N12" s="133"/>
      <c r="O12" s="34"/>
      <c r="P12" s="34"/>
      <c r="Q12" s="34"/>
      <c r="R12" s="34"/>
      <c r="S12" s="34"/>
    </row>
    <row r="13" spans="1:20" s="35" customFormat="1" ht="8" customHeight="1" thickBot="1" x14ac:dyDescent="0.25">
      <c r="C13" s="132"/>
      <c r="D13" s="115"/>
      <c r="E13" s="132"/>
      <c r="F13" s="133"/>
      <c r="G13" s="132"/>
      <c r="H13" s="133"/>
      <c r="I13" s="132"/>
      <c r="J13" s="133"/>
      <c r="K13" s="132"/>
      <c r="L13" s="133"/>
      <c r="M13" s="313"/>
      <c r="N13" s="133"/>
      <c r="O13" s="34"/>
      <c r="P13" s="34"/>
      <c r="Q13" s="34"/>
      <c r="R13" s="34"/>
      <c r="S13" s="34"/>
    </row>
    <row r="14" spans="1:20" s="35" customFormat="1" ht="6" customHeight="1" x14ac:dyDescent="0.2">
      <c r="A14" s="317"/>
      <c r="B14" s="317"/>
      <c r="C14" s="318"/>
      <c r="D14" s="319"/>
      <c r="E14" s="318"/>
      <c r="F14" s="320"/>
      <c r="G14" s="318"/>
      <c r="H14" s="320"/>
      <c r="I14" s="318"/>
      <c r="J14" s="320"/>
      <c r="K14" s="318"/>
      <c r="L14" s="320"/>
      <c r="M14" s="321"/>
      <c r="N14" s="133"/>
      <c r="O14" s="34"/>
      <c r="P14" s="34"/>
      <c r="Q14" s="34"/>
      <c r="R14" s="34"/>
      <c r="S14" s="34"/>
    </row>
    <row r="15" spans="1:20" s="35" customFormat="1" ht="8" customHeight="1" x14ac:dyDescent="0.2">
      <c r="C15" s="132"/>
      <c r="D15" s="115"/>
      <c r="E15" s="132"/>
      <c r="F15" s="133"/>
      <c r="G15" s="132"/>
      <c r="H15" s="133"/>
      <c r="I15" s="132"/>
      <c r="J15" s="133"/>
      <c r="K15" s="132"/>
      <c r="L15" s="133"/>
      <c r="M15" s="132"/>
      <c r="N15" s="133"/>
      <c r="O15" s="34"/>
      <c r="P15" s="34"/>
      <c r="Q15" s="34"/>
      <c r="R15" s="34"/>
      <c r="S15" s="34"/>
    </row>
    <row r="16" spans="1:20" s="35" customFormat="1" ht="15" customHeight="1" x14ac:dyDescent="0.2">
      <c r="A16" s="33" t="s">
        <v>11</v>
      </c>
      <c r="C16" s="132"/>
      <c r="D16" s="115"/>
      <c r="E16" s="132"/>
      <c r="F16" s="133"/>
      <c r="G16" s="132"/>
      <c r="H16" s="133"/>
      <c r="I16" s="132"/>
      <c r="J16" s="133"/>
      <c r="K16" s="132"/>
      <c r="L16" s="133"/>
      <c r="M16" s="132"/>
      <c r="N16" s="133"/>
      <c r="O16" s="34"/>
      <c r="P16" s="34"/>
      <c r="Q16" s="34"/>
      <c r="R16" s="34"/>
      <c r="S16" s="34"/>
    </row>
    <row r="17" spans="1:19" ht="20" customHeight="1" x14ac:dyDescent="0.2">
      <c r="C17" s="305"/>
      <c r="D17" s="115"/>
      <c r="E17" s="304" t="s">
        <v>174</v>
      </c>
      <c r="F17" s="304"/>
      <c r="G17" s="304" t="s">
        <v>174</v>
      </c>
      <c r="H17" s="304"/>
      <c r="I17" s="304" t="s">
        <v>174</v>
      </c>
      <c r="J17" s="304"/>
      <c r="K17" s="304" t="s">
        <v>174</v>
      </c>
      <c r="L17" s="304"/>
      <c r="M17" s="304" t="s">
        <v>174</v>
      </c>
      <c r="N17" s="306"/>
    </row>
    <row r="18" spans="1:19" ht="15" customHeight="1" x14ac:dyDescent="0.2">
      <c r="A18" s="33" t="s">
        <v>59</v>
      </c>
      <c r="C18" s="128"/>
      <c r="D18" s="115"/>
      <c r="E18" s="322">
        <f>M6+1</f>
        <v>1</v>
      </c>
      <c r="F18" s="322"/>
      <c r="G18" s="322">
        <f>$E18+1</f>
        <v>2</v>
      </c>
      <c r="H18" s="322"/>
      <c r="I18" s="322">
        <f>$E18+2</f>
        <v>3</v>
      </c>
      <c r="J18" s="322"/>
      <c r="K18" s="322">
        <f>$E18+3</f>
        <v>4</v>
      </c>
      <c r="L18" s="322"/>
      <c r="M18" s="322">
        <f>$E18+4</f>
        <v>5</v>
      </c>
      <c r="N18" s="115"/>
    </row>
    <row r="19" spans="1:19" ht="6" customHeight="1" x14ac:dyDescent="0.2">
      <c r="A19" s="33"/>
      <c r="C19" s="128"/>
      <c r="D19" s="115"/>
      <c r="E19" s="128"/>
      <c r="F19" s="115"/>
      <c r="G19" s="128"/>
      <c r="H19" s="115"/>
      <c r="I19" s="128"/>
      <c r="J19" s="115"/>
      <c r="K19" s="128"/>
      <c r="L19" s="115"/>
      <c r="M19" s="128"/>
      <c r="N19" s="115"/>
    </row>
    <row r="20" spans="1:19" ht="15" customHeight="1" thickBot="1" x14ac:dyDescent="0.25">
      <c r="B20" s="34" t="s">
        <v>186</v>
      </c>
      <c r="C20" s="323"/>
      <c r="D20" s="115"/>
      <c r="E20" s="323">
        <f>Setup!$B10</f>
        <v>4.4999999999999998E-2</v>
      </c>
      <c r="F20" s="115"/>
      <c r="G20" s="323">
        <f>Setup!$B10</f>
        <v>4.4999999999999998E-2</v>
      </c>
      <c r="H20" s="115"/>
      <c r="I20" s="323">
        <f>Setup!$B10</f>
        <v>4.4999999999999998E-2</v>
      </c>
      <c r="J20" s="115"/>
      <c r="K20" s="323">
        <f>Setup!$B10</f>
        <v>4.4999999999999998E-2</v>
      </c>
      <c r="L20" s="115"/>
      <c r="M20" s="323">
        <f>Setup!$B10</f>
        <v>4.4999999999999998E-2</v>
      </c>
      <c r="N20" s="115"/>
    </row>
    <row r="21" spans="1:19" ht="15" customHeight="1" thickBot="1" x14ac:dyDescent="0.25">
      <c r="B21" s="34" t="s">
        <v>187</v>
      </c>
      <c r="C21" s="124"/>
      <c r="D21" s="115"/>
      <c r="E21" s="124">
        <f>Setup!$B12</f>
        <v>3</v>
      </c>
      <c r="F21" s="115"/>
      <c r="G21" s="124">
        <f>Setup!$B12</f>
        <v>3</v>
      </c>
      <c r="H21" s="115"/>
      <c r="I21" s="124">
        <f>Setup!$B12</f>
        <v>3</v>
      </c>
      <c r="J21" s="115"/>
      <c r="K21" s="124">
        <f>Setup!$B12</f>
        <v>3</v>
      </c>
      <c r="L21" s="115"/>
      <c r="M21" s="124">
        <f>Setup!$B12</f>
        <v>3</v>
      </c>
      <c r="N21" s="115"/>
    </row>
    <row r="22" spans="1:19" ht="15" customHeight="1" x14ac:dyDescent="0.2">
      <c r="A22" s="35" t="s">
        <v>123</v>
      </c>
      <c r="C22" s="324"/>
      <c r="D22" s="115"/>
      <c r="E22" s="324">
        <f>IF(E21=1,C36,IF(E21=2,(C36+K12)/2,IF(E21=3,(C36+I12+K12)/3,IF(E21=4,(C36+G12+I12+K12)/4,C36+E12+G12+I12+K12)/5)))*E20</f>
        <v>491696.13290174998</v>
      </c>
      <c r="F22" s="115"/>
      <c r="G22" s="324">
        <f>IF(G21=1,E36,IF(G21=2,(C36+E36)/2,IF(G21=3,(C36+E36+K12)/3,IF(G21=4,(C36+E36+I12+K12)/4,C36+E36+G12+I12+K12)/5)))*G20</f>
        <v>478367.50016606995</v>
      </c>
      <c r="H22" s="324"/>
      <c r="I22" s="324">
        <f>IF(I21=1,G36,IF(I21=2,(G36+E36)/2,IF(I21=3,(C36+E36+G36)/3,IF(I21=4,(C36+E36+G36+K12)/4,C36+E36+G36+I12+K12)/5)))*I20</f>
        <v>486942.18317918648</v>
      </c>
      <c r="J22" s="324"/>
      <c r="K22" s="324">
        <f>IF(K21=1,I36,IF(K21=2,(G36+I36)/2,IF(K21=3,(I36+E36+G36)/3,IF(K21=4,(C36+E36+G36+I36)/4,C36+E36+G36+I36+K12)/5)))*K20</f>
        <v>490368.91601033654</v>
      </c>
      <c r="L22" s="324"/>
      <c r="M22" s="324">
        <f>IF(M21=1,K36,IF(M21=2,(K36+I36)/2,IF(M21=3,(I36+K36+G36)/3,IF(M21=4,(K36+E36+G36+I36)/4,C36+E36+G36+I36+K36)/5)))*M20</f>
        <v>495504.02740057121</v>
      </c>
      <c r="N22" s="115"/>
    </row>
    <row r="23" spans="1:19" s="107" customFormat="1" ht="8" customHeight="1" x14ac:dyDescent="0.2">
      <c r="B23" s="294"/>
      <c r="C23" s="325"/>
      <c r="D23" s="115"/>
      <c r="E23" s="325"/>
      <c r="F23" s="325"/>
      <c r="G23" s="325"/>
      <c r="H23" s="325"/>
      <c r="I23" s="325"/>
      <c r="J23" s="325"/>
      <c r="K23" s="325"/>
      <c r="L23" s="325"/>
      <c r="M23" s="325"/>
      <c r="N23" s="325"/>
      <c r="O23" s="34"/>
      <c r="P23" s="34"/>
      <c r="Q23" s="34"/>
      <c r="R23" s="34"/>
      <c r="S23" s="34"/>
    </row>
    <row r="24" spans="1:19" s="107" customFormat="1" ht="7" customHeight="1" x14ac:dyDescent="0.2">
      <c r="B24" s="294"/>
      <c r="C24" s="325"/>
      <c r="D24" s="115"/>
      <c r="E24" s="325"/>
      <c r="F24" s="325"/>
      <c r="G24" s="325"/>
      <c r="H24" s="325"/>
      <c r="I24" s="325"/>
      <c r="J24" s="325"/>
      <c r="K24" s="325"/>
      <c r="L24" s="325"/>
      <c r="M24" s="325"/>
      <c r="N24" s="325"/>
      <c r="O24" s="34"/>
      <c r="P24" s="34"/>
      <c r="Q24" s="34"/>
      <c r="R24" s="34"/>
      <c r="S24" s="34"/>
    </row>
    <row r="25" spans="1:19" s="107" customFormat="1" ht="24" customHeight="1" x14ac:dyDescent="0.2">
      <c r="B25" s="294"/>
      <c r="C25" s="304" t="s">
        <v>98</v>
      </c>
      <c r="D25" s="325"/>
      <c r="E25" s="304" t="s">
        <v>174</v>
      </c>
      <c r="F25" s="326"/>
      <c r="G25" s="304" t="s">
        <v>174</v>
      </c>
      <c r="H25" s="326"/>
      <c r="I25" s="304" t="s">
        <v>174</v>
      </c>
      <c r="J25" s="326"/>
      <c r="K25" s="304" t="s">
        <v>174</v>
      </c>
      <c r="L25" s="326"/>
      <c r="M25" s="304" t="s">
        <v>174</v>
      </c>
      <c r="N25" s="325"/>
      <c r="O25" s="34"/>
      <c r="P25" s="34"/>
      <c r="Q25" s="34"/>
      <c r="R25" s="34"/>
      <c r="S25" s="34"/>
    </row>
    <row r="26" spans="1:19" s="107" customFormat="1" ht="18" customHeight="1" x14ac:dyDescent="0.2">
      <c r="A26" s="33" t="s">
        <v>7</v>
      </c>
      <c r="B26" s="294"/>
      <c r="C26" s="327">
        <f>K6+1</f>
        <v>2022</v>
      </c>
      <c r="D26" s="115"/>
      <c r="E26" s="327">
        <f>$C26+1</f>
        <v>2023</v>
      </c>
      <c r="F26" s="327"/>
      <c r="G26" s="327">
        <f>$C26+2</f>
        <v>2024</v>
      </c>
      <c r="H26" s="327"/>
      <c r="I26" s="327">
        <f>$C26+3</f>
        <v>2025</v>
      </c>
      <c r="J26" s="327"/>
      <c r="K26" s="327">
        <f>$C26+4</f>
        <v>2026</v>
      </c>
      <c r="L26" s="327"/>
      <c r="M26" s="327">
        <f>$C26+5</f>
        <v>2027</v>
      </c>
      <c r="N26" s="325"/>
      <c r="O26" s="34"/>
      <c r="P26" s="34"/>
      <c r="Q26" s="34"/>
      <c r="R26" s="34"/>
      <c r="S26" s="34"/>
    </row>
    <row r="27" spans="1:19" s="107" customFormat="1" ht="6" customHeight="1" thickBot="1" x14ac:dyDescent="0.25">
      <c r="A27" s="33"/>
      <c r="B27" s="294"/>
      <c r="C27" s="325"/>
      <c r="D27" s="115"/>
      <c r="E27" s="325"/>
      <c r="F27" s="325"/>
      <c r="G27" s="325"/>
      <c r="H27" s="325"/>
      <c r="I27" s="325"/>
      <c r="J27" s="325"/>
      <c r="K27" s="325"/>
      <c r="L27" s="325"/>
      <c r="M27" s="325"/>
      <c r="N27" s="325"/>
      <c r="O27" s="34"/>
      <c r="P27" s="34"/>
      <c r="Q27" s="34"/>
      <c r="R27" s="34"/>
      <c r="S27" s="34"/>
    </row>
    <row r="28" spans="1:19" ht="15" customHeight="1" thickBot="1" x14ac:dyDescent="0.25">
      <c r="A28" s="35" t="s">
        <v>6</v>
      </c>
      <c r="C28" s="328">
        <f>K12</f>
        <v>10326196.789999999</v>
      </c>
      <c r="D28" s="115"/>
      <c r="E28" s="328">
        <f>C36</f>
        <v>10781832.613449998</v>
      </c>
      <c r="F28" s="115"/>
      <c r="G28" s="328">
        <f>E36</f>
        <v>10783137.274287997</v>
      </c>
      <c r="H28" s="115"/>
      <c r="I28" s="328">
        <f>G36</f>
        <v>10897842.324207768</v>
      </c>
      <c r="J28" s="115"/>
      <c r="K28" s="328">
        <f>I36</f>
        <v>11010281.468860008</v>
      </c>
      <c r="L28" s="115"/>
      <c r="M28" s="328">
        <f>K36</f>
        <v>11125478.03363697</v>
      </c>
      <c r="N28" s="115"/>
    </row>
    <row r="29" spans="1:19" ht="15" customHeight="1" thickBot="1" x14ac:dyDescent="0.25">
      <c r="B29" s="34" t="s">
        <v>188</v>
      </c>
      <c r="C29" s="323">
        <f>Setup!$B14</f>
        <v>5.5E-2</v>
      </c>
      <c r="D29" s="115"/>
      <c r="E29" s="323">
        <f>Setup!$B14</f>
        <v>5.5E-2</v>
      </c>
      <c r="F29" s="115"/>
      <c r="G29" s="323">
        <f>Setup!$B14</f>
        <v>5.5E-2</v>
      </c>
      <c r="H29" s="115"/>
      <c r="I29" s="323">
        <f>Setup!$B14</f>
        <v>5.5E-2</v>
      </c>
      <c r="J29" s="115"/>
      <c r="K29" s="323">
        <f>Setup!$B14</f>
        <v>5.5E-2</v>
      </c>
      <c r="L29" s="115"/>
      <c r="M29" s="323">
        <f>Setup!$B14</f>
        <v>5.5E-2</v>
      </c>
      <c r="N29" s="115"/>
    </row>
    <row r="30" spans="1:19" ht="15" customHeight="1" thickBot="1" x14ac:dyDescent="0.25">
      <c r="B30" s="34" t="s">
        <v>62</v>
      </c>
      <c r="C30" s="124">
        <f>C28*C29</f>
        <v>567940.82344999991</v>
      </c>
      <c r="D30" s="325"/>
      <c r="E30" s="124">
        <f>E28*E29</f>
        <v>593000.79373974993</v>
      </c>
      <c r="F30" s="325"/>
      <c r="G30" s="124">
        <f>G28*G29</f>
        <v>593072.55008583982</v>
      </c>
      <c r="H30" s="325"/>
      <c r="I30" s="124">
        <f>I28*I29</f>
        <v>599381.32783142722</v>
      </c>
      <c r="J30" s="325"/>
      <c r="K30" s="124">
        <f>K28*K29</f>
        <v>605565.48078730039</v>
      </c>
      <c r="L30" s="325"/>
      <c r="M30" s="124">
        <f>M28*M29</f>
        <v>611901.29185003333</v>
      </c>
      <c r="N30" s="115"/>
    </row>
    <row r="31" spans="1:19" s="35" customFormat="1" ht="17" thickBot="1" x14ac:dyDescent="0.25">
      <c r="B31" s="123" t="s">
        <v>52</v>
      </c>
      <c r="C31" s="329">
        <f>'A. History Input &amp; Output'!O20</f>
        <v>114805</v>
      </c>
      <c r="D31" s="115"/>
      <c r="E31" s="330">
        <f>E22</f>
        <v>491696.13290174998</v>
      </c>
      <c r="F31" s="133"/>
      <c r="G31" s="330">
        <f>G22</f>
        <v>478367.50016606995</v>
      </c>
      <c r="H31" s="133"/>
      <c r="I31" s="330">
        <f>I22</f>
        <v>486942.18317918648</v>
      </c>
      <c r="J31" s="133"/>
      <c r="K31" s="331">
        <f>K22</f>
        <v>490368.91601033654</v>
      </c>
      <c r="L31" s="133"/>
      <c r="M31" s="331">
        <f>M22</f>
        <v>495504.02740057121</v>
      </c>
      <c r="N31" s="133"/>
      <c r="O31" s="34"/>
      <c r="P31" s="34"/>
      <c r="Q31" s="34"/>
      <c r="R31" s="34"/>
      <c r="S31" s="34"/>
    </row>
    <row r="32" spans="1:19" s="35" customFormat="1" ht="15" customHeight="1" thickBot="1" x14ac:dyDescent="0.25">
      <c r="B32" s="123" t="s">
        <v>189</v>
      </c>
      <c r="C32" s="331">
        <v>0</v>
      </c>
      <c r="D32" s="115"/>
      <c r="E32" s="331">
        <f>'D. Growth Plan'!D39</f>
        <v>100000</v>
      </c>
      <c r="F32" s="332"/>
      <c r="G32" s="331">
        <f>'D. Growth Plan'!G39</f>
        <v>0</v>
      </c>
      <c r="H32" s="332"/>
      <c r="I32" s="331">
        <f>'D. Growth Plan'!J39</f>
        <v>0</v>
      </c>
      <c r="J32" s="332"/>
      <c r="K32" s="331">
        <f>'D. Growth Plan'!M39</f>
        <v>0</v>
      </c>
      <c r="L32" s="332"/>
      <c r="M32" s="331">
        <f>'D. Growth Plan'!P39</f>
        <v>0</v>
      </c>
      <c r="N32" s="133"/>
    </row>
    <row r="33" spans="1:14" s="35" customFormat="1" ht="14" customHeight="1" thickBot="1" x14ac:dyDescent="0.25">
      <c r="B33" s="123"/>
      <c r="C33" s="333"/>
      <c r="D33" s="334"/>
      <c r="E33" s="333"/>
      <c r="F33" s="334"/>
      <c r="G33" s="333"/>
      <c r="H33" s="334"/>
      <c r="I33" s="333"/>
      <c r="J33" s="334"/>
      <c r="K33" s="333"/>
      <c r="L33" s="133"/>
      <c r="M33" s="335"/>
      <c r="N33" s="133"/>
    </row>
    <row r="34" spans="1:14" s="35" customFormat="1" ht="21" customHeight="1" thickBot="1" x14ac:dyDescent="0.25">
      <c r="B34" s="35" t="s">
        <v>53</v>
      </c>
      <c r="C34" s="338">
        <v>2500</v>
      </c>
      <c r="D34" s="115"/>
      <c r="E34" s="314">
        <f>'D. Growth Plan'!D38</f>
        <v>0</v>
      </c>
      <c r="F34" s="115"/>
      <c r="G34" s="314">
        <f>'D. Growth Plan'!G38</f>
        <v>0</v>
      </c>
      <c r="H34" s="115"/>
      <c r="I34" s="314">
        <f>'D. Growth Plan'!J38</f>
        <v>0</v>
      </c>
      <c r="J34" s="115"/>
      <c r="K34" s="314">
        <f>'D. Growth Plan'!M38</f>
        <v>0</v>
      </c>
      <c r="L34" s="133"/>
      <c r="M34" s="336">
        <f>'D. Growth Plan'!P38</f>
        <v>0</v>
      </c>
      <c r="N34" s="133"/>
    </row>
    <row r="35" spans="1:14" s="35" customFormat="1" ht="15" customHeight="1" thickBot="1" x14ac:dyDescent="0.25">
      <c r="B35" s="123" t="s">
        <v>190</v>
      </c>
      <c r="C35" s="333"/>
      <c r="D35" s="334"/>
      <c r="E35" s="333"/>
      <c r="F35" s="334"/>
      <c r="G35" s="333"/>
      <c r="H35" s="334"/>
      <c r="I35" s="333"/>
      <c r="J35" s="334"/>
      <c r="K35" s="333"/>
      <c r="L35" s="133"/>
      <c r="M35" s="335"/>
      <c r="N35" s="133"/>
    </row>
    <row r="36" spans="1:14" ht="15" customHeight="1" thickBot="1" x14ac:dyDescent="0.25">
      <c r="A36" s="35" t="s">
        <v>5</v>
      </c>
      <c r="C36" s="328">
        <f>C28+C30-C31-C32+C34</f>
        <v>10781832.613449998</v>
      </c>
      <c r="D36" s="115"/>
      <c r="E36" s="328">
        <f>E28+E30-E31-E32+E34</f>
        <v>10783137.274287997</v>
      </c>
      <c r="F36" s="337"/>
      <c r="G36" s="328">
        <f>G28+G30-G31-G32+G34</f>
        <v>10897842.324207768</v>
      </c>
      <c r="H36" s="337"/>
      <c r="I36" s="328">
        <f>I28+I30-I31-I32+I34</f>
        <v>11010281.468860008</v>
      </c>
      <c r="J36" s="337"/>
      <c r="K36" s="328">
        <f>K28+K30-K31-K32+K34</f>
        <v>11125478.03363697</v>
      </c>
      <c r="L36" s="337"/>
      <c r="M36" s="328">
        <f>M28+M30-M31-M32+M34</f>
        <v>11241875.298086433</v>
      </c>
      <c r="N36" s="134"/>
    </row>
    <row r="37" spans="1:14" x14ac:dyDescent="0.2">
      <c r="D37" s="115"/>
    </row>
  </sheetData>
  <mergeCells count="1">
    <mergeCell ref="A3:N3"/>
  </mergeCells>
  <phoneticPr fontId="2" type="noConversion"/>
  <printOptions horizontalCentered="1" verticalCentered="1" gridLines="1"/>
  <pageMargins left="0.45" right="0.45" top="1" bottom="1" header="0.5" footer="0.5"/>
  <pageSetup scale="85" orientation="landscape"/>
  <headerFooter alignWithMargins="0">
    <oddFooter>&amp;C&amp;8&amp;D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2F650-A53B-614D-B569-9436EA4A3B00}">
  <sheetPr>
    <tabColor rgb="FFFFFF00"/>
  </sheetPr>
  <dimension ref="B1:X44"/>
  <sheetViews>
    <sheetView workbookViewId="0">
      <selection activeCell="C5" sqref="C5"/>
    </sheetView>
  </sheetViews>
  <sheetFormatPr baseColWidth="10" defaultRowHeight="16" x14ac:dyDescent="0.2"/>
  <cols>
    <col min="1" max="1" width="10.83203125" style="34"/>
    <col min="2" max="2" width="29" style="34" customWidth="1"/>
    <col min="3" max="3" width="20.6640625" style="34" customWidth="1"/>
    <col min="4" max="4" width="14.83203125" style="34" bestFit="1" customWidth="1"/>
    <col min="5" max="5" width="20.5" style="34" customWidth="1"/>
    <col min="6" max="8" width="14.83203125" style="34" bestFit="1" customWidth="1"/>
    <col min="9" max="9" width="23.5" style="34" customWidth="1"/>
    <col min="10" max="10" width="7" style="34" customWidth="1"/>
    <col min="11" max="11" width="14.5" style="34" customWidth="1"/>
    <col min="12" max="12" width="20.6640625" style="34" bestFit="1" customWidth="1"/>
    <col min="13" max="13" width="4.1640625" style="34" customWidth="1"/>
    <col min="14" max="14" width="13" style="34" bestFit="1" customWidth="1"/>
    <col min="15" max="15" width="15.33203125" style="34" customWidth="1"/>
    <col min="16" max="16" width="5.5" style="34" customWidth="1"/>
    <col min="17" max="17" width="13" style="34" bestFit="1" customWidth="1"/>
    <col min="18" max="18" width="14.83203125" style="34" bestFit="1" customWidth="1"/>
    <col min="19" max="19" width="4.33203125" style="34" customWidth="1"/>
    <col min="20" max="20" width="15.33203125" style="34" customWidth="1"/>
    <col min="21" max="21" width="14.83203125" style="34" bestFit="1" customWidth="1"/>
    <col min="22" max="22" width="3.6640625" style="34" customWidth="1"/>
    <col min="23" max="23" width="13" style="34" bestFit="1" customWidth="1"/>
    <col min="24" max="24" width="14.83203125" style="34" bestFit="1" customWidth="1"/>
    <col min="25" max="16384" width="10.83203125" style="34"/>
  </cols>
  <sheetData>
    <row r="1" spans="2:24" ht="20" x14ac:dyDescent="0.2">
      <c r="E1" s="293" t="s">
        <v>176</v>
      </c>
    </row>
    <row r="2" spans="2:24" ht="20" x14ac:dyDescent="0.2">
      <c r="B2" s="359" t="s">
        <v>227</v>
      </c>
      <c r="C2" s="105"/>
      <c r="D2" s="105"/>
      <c r="E2" s="105"/>
    </row>
    <row r="4" spans="2:24" ht="26" x14ac:dyDescent="0.4">
      <c r="C4" s="185" t="str">
        <f>Setup!B6</f>
        <v>Sample Council- #0325</v>
      </c>
    </row>
    <row r="5" spans="2:24" ht="26" x14ac:dyDescent="0.4">
      <c r="C5" s="185"/>
      <c r="H5" s="360"/>
    </row>
    <row r="6" spans="2:24" ht="28" x14ac:dyDescent="0.4">
      <c r="C6" s="185" t="s">
        <v>228</v>
      </c>
      <c r="H6" s="361" t="s">
        <v>229</v>
      </c>
      <c r="L6" s="185" t="s">
        <v>228</v>
      </c>
    </row>
    <row r="8" spans="2:24" ht="23" x14ac:dyDescent="0.25">
      <c r="C8" s="293">
        <f>'[2]A. History Input &amp; Output'!G4</f>
        <v>2018</v>
      </c>
      <c r="D8" s="293">
        <f>'[2]A. History Input &amp; Output'!I4</f>
        <v>2019</v>
      </c>
      <c r="E8" s="293">
        <f>'[2]A. History Input &amp; Output'!K4</f>
        <v>2020</v>
      </c>
      <c r="F8" s="293">
        <f>'[2]A. History Input &amp; Output'!M4</f>
        <v>2021</v>
      </c>
      <c r="G8" s="293">
        <f>'[2]A. History Input &amp; Output'!O4</f>
        <v>2022</v>
      </c>
      <c r="H8" s="293">
        <f>G8+1</f>
        <v>2023</v>
      </c>
      <c r="I8" s="293">
        <f>H8</f>
        <v>2023</v>
      </c>
      <c r="J8" s="293"/>
      <c r="K8" s="360">
        <f>'[2]A. History Input &amp; Output'!U4</f>
        <v>2024</v>
      </c>
      <c r="L8" s="360">
        <f>I8+1</f>
        <v>2024</v>
      </c>
      <c r="M8" s="362"/>
      <c r="N8" s="360">
        <f>L8+1</f>
        <v>2025</v>
      </c>
      <c r="O8" s="360">
        <f>L8+1</f>
        <v>2025</v>
      </c>
      <c r="P8" s="360"/>
      <c r="Q8" s="360">
        <f>R8</f>
        <v>2026</v>
      </c>
      <c r="R8" s="360">
        <f>N8+1</f>
        <v>2026</v>
      </c>
      <c r="S8" s="360"/>
      <c r="T8" s="360">
        <f>U8</f>
        <v>2027</v>
      </c>
      <c r="U8" s="360">
        <f>R8+1</f>
        <v>2027</v>
      </c>
      <c r="W8" s="360">
        <f>X8</f>
        <v>2028</v>
      </c>
      <c r="X8" s="360">
        <f>U8+1</f>
        <v>2028</v>
      </c>
    </row>
    <row r="9" spans="2:24" ht="19" thickBot="1" x14ac:dyDescent="0.25">
      <c r="C9" s="363" t="s">
        <v>113</v>
      </c>
      <c r="D9" s="363" t="s">
        <v>113</v>
      </c>
      <c r="E9" s="363" t="s">
        <v>113</v>
      </c>
      <c r="F9" s="363" t="s">
        <v>113</v>
      </c>
      <c r="G9" s="363" t="s">
        <v>113</v>
      </c>
      <c r="H9" s="364" t="s">
        <v>230</v>
      </c>
      <c r="I9" s="365" t="s">
        <v>231</v>
      </c>
      <c r="J9" s="357"/>
      <c r="K9" s="365" t="s">
        <v>144</v>
      </c>
      <c r="L9" s="365" t="s">
        <v>232</v>
      </c>
      <c r="M9" s="365"/>
      <c r="N9" s="365" t="s">
        <v>144</v>
      </c>
      <c r="O9" s="365" t="s">
        <v>232</v>
      </c>
      <c r="P9" s="365"/>
      <c r="Q9" s="365" t="s">
        <v>144</v>
      </c>
      <c r="R9" s="365" t="s">
        <v>232</v>
      </c>
      <c r="S9" s="365"/>
      <c r="T9" s="365" t="s">
        <v>144</v>
      </c>
      <c r="U9" s="365" t="s">
        <v>232</v>
      </c>
      <c r="W9" s="365" t="s">
        <v>144</v>
      </c>
      <c r="X9" s="365" t="s">
        <v>232</v>
      </c>
    </row>
    <row r="10" spans="2:24" ht="18" x14ac:dyDescent="0.2">
      <c r="B10" s="223" t="s">
        <v>233</v>
      </c>
      <c r="C10" s="366">
        <v>1067465</v>
      </c>
      <c r="D10" s="366">
        <v>1074401</v>
      </c>
      <c r="E10" s="366">
        <v>1074401</v>
      </c>
      <c r="F10" s="366">
        <v>1074401</v>
      </c>
      <c r="G10" s="366">
        <v>1074401</v>
      </c>
      <c r="H10" s="367">
        <v>50000</v>
      </c>
      <c r="I10" s="366">
        <f>H10+G10</f>
        <v>1124401</v>
      </c>
      <c r="J10" s="366"/>
      <c r="K10" s="367">
        <v>50000</v>
      </c>
      <c r="L10" s="368">
        <f>K10+I10</f>
        <v>1174401</v>
      </c>
      <c r="N10" s="367">
        <v>50000</v>
      </c>
      <c r="O10" s="369">
        <f>N10+L10</f>
        <v>1224401</v>
      </c>
      <c r="P10" s="370"/>
      <c r="Q10" s="367">
        <v>50000</v>
      </c>
      <c r="R10" s="369">
        <f>Q10+O10</f>
        <v>1274401</v>
      </c>
      <c r="T10" s="367">
        <v>50000</v>
      </c>
      <c r="U10" s="369">
        <f>T10+R10</f>
        <v>1324401</v>
      </c>
      <c r="W10" s="367">
        <v>50000</v>
      </c>
      <c r="X10" s="369">
        <f>W10+U10</f>
        <v>1374401</v>
      </c>
    </row>
    <row r="11" spans="2:24" ht="18" x14ac:dyDescent="0.2">
      <c r="B11" s="213"/>
      <c r="C11" s="366"/>
      <c r="D11" s="366"/>
      <c r="E11" s="366"/>
      <c r="F11" s="366"/>
      <c r="G11" s="366"/>
      <c r="H11" s="371"/>
      <c r="I11" s="366"/>
      <c r="J11" s="366"/>
      <c r="K11" s="364"/>
      <c r="L11" s="364"/>
      <c r="N11" s="364"/>
      <c r="Q11" s="364"/>
      <c r="T11" s="364"/>
      <c r="W11" s="364"/>
    </row>
    <row r="12" spans="2:24" ht="18" x14ac:dyDescent="0.2">
      <c r="B12" s="213"/>
      <c r="C12" s="366"/>
      <c r="D12" s="366"/>
      <c r="E12" s="366"/>
      <c r="F12" s="366"/>
      <c r="G12" s="366"/>
      <c r="H12" s="366"/>
      <c r="I12" s="366"/>
      <c r="J12" s="366"/>
      <c r="K12" s="364"/>
      <c r="L12" s="364"/>
      <c r="N12" s="364"/>
      <c r="Q12" s="364"/>
      <c r="T12" s="364"/>
      <c r="W12" s="364"/>
    </row>
    <row r="13" spans="2:24" ht="18" x14ac:dyDescent="0.2">
      <c r="B13" s="223" t="s">
        <v>234</v>
      </c>
      <c r="C13" s="366">
        <v>4166803</v>
      </c>
      <c r="D13" s="366">
        <v>5023705</v>
      </c>
      <c r="E13" s="366">
        <v>5023705</v>
      </c>
      <c r="F13" s="366">
        <v>5040705</v>
      </c>
      <c r="G13" s="366">
        <v>4540705</v>
      </c>
      <c r="H13" s="367">
        <v>3000000</v>
      </c>
      <c r="I13" s="366">
        <f t="shared" ref="I13:I15" si="0">H13+G13</f>
        <v>7540705</v>
      </c>
      <c r="J13" s="366"/>
      <c r="K13" s="367">
        <v>0</v>
      </c>
      <c r="L13" s="368">
        <f>K13+I13</f>
        <v>7540705</v>
      </c>
      <c r="N13" s="367">
        <v>0</v>
      </c>
      <c r="O13" s="369">
        <f>N13+L13</f>
        <v>7540705</v>
      </c>
      <c r="Q13" s="367">
        <v>0</v>
      </c>
      <c r="R13" s="369">
        <f>Q13+O13</f>
        <v>7540705</v>
      </c>
      <c r="T13" s="367">
        <v>0</v>
      </c>
      <c r="U13" s="369">
        <f>T13+R13</f>
        <v>7540705</v>
      </c>
      <c r="W13" s="367">
        <v>0</v>
      </c>
      <c r="X13" s="369">
        <f>W13+U13</f>
        <v>7540705</v>
      </c>
    </row>
    <row r="14" spans="2:24" ht="18" x14ac:dyDescent="0.2">
      <c r="B14" s="213"/>
      <c r="C14" s="366"/>
      <c r="D14" s="366"/>
      <c r="E14" s="366"/>
      <c r="F14" s="366"/>
      <c r="G14" s="366"/>
      <c r="H14" s="372"/>
      <c r="I14" s="366"/>
      <c r="J14" s="366"/>
      <c r="K14" s="364"/>
      <c r="L14" s="364"/>
      <c r="N14" s="364"/>
      <c r="Q14" s="364"/>
      <c r="T14" s="364"/>
      <c r="W14" s="364"/>
    </row>
    <row r="15" spans="2:24" ht="18" x14ac:dyDescent="0.2">
      <c r="B15" s="223" t="s">
        <v>235</v>
      </c>
      <c r="C15" s="366">
        <v>451460</v>
      </c>
      <c r="D15" s="366">
        <v>372191</v>
      </c>
      <c r="E15" s="366">
        <v>995582</v>
      </c>
      <c r="F15" s="366">
        <v>2194882</v>
      </c>
      <c r="G15" s="366">
        <v>3020002</v>
      </c>
      <c r="H15" s="367">
        <f>-H13</f>
        <v>-3000000</v>
      </c>
      <c r="I15" s="366">
        <f t="shared" si="0"/>
        <v>20002</v>
      </c>
      <c r="J15" s="366"/>
      <c r="K15" s="367">
        <v>0</v>
      </c>
      <c r="L15" s="368">
        <f>K15+I15</f>
        <v>20002</v>
      </c>
      <c r="N15" s="367">
        <v>0</v>
      </c>
      <c r="O15" s="369">
        <f>N15+L15</f>
        <v>20002</v>
      </c>
      <c r="Q15" s="367">
        <v>0</v>
      </c>
      <c r="R15" s="369">
        <f>Q15+O15</f>
        <v>20002</v>
      </c>
      <c r="T15" s="367">
        <v>0</v>
      </c>
      <c r="U15" s="369">
        <f>T15+R15</f>
        <v>20002</v>
      </c>
      <c r="W15" s="367">
        <v>0</v>
      </c>
      <c r="X15" s="369">
        <f>W15+U15</f>
        <v>20002</v>
      </c>
    </row>
    <row r="16" spans="2:24" ht="18" x14ac:dyDescent="0.2">
      <c r="B16" s="213"/>
      <c r="C16" s="366"/>
      <c r="D16" s="366"/>
      <c r="E16" s="366"/>
      <c r="F16" s="366"/>
      <c r="G16" s="366"/>
      <c r="H16" s="366"/>
      <c r="I16" s="366"/>
      <c r="J16" s="366"/>
      <c r="K16" s="364"/>
      <c r="L16" s="364"/>
    </row>
    <row r="17" spans="2:24" ht="20" x14ac:dyDescent="0.2">
      <c r="B17" s="298" t="s">
        <v>236</v>
      </c>
      <c r="C17" s="373">
        <f>SUM(C10:C15)</f>
        <v>5685728</v>
      </c>
      <c r="D17" s="373">
        <f t="shared" ref="D17:E17" si="1">SUM(D10:D15)</f>
        <v>6470297</v>
      </c>
      <c r="E17" s="373">
        <f t="shared" si="1"/>
        <v>7093688</v>
      </c>
      <c r="F17" s="373">
        <f>SUM(F10:F15)</f>
        <v>8309988</v>
      </c>
      <c r="G17" s="373">
        <f>SUM(G10:G15)</f>
        <v>8635108</v>
      </c>
      <c r="H17" s="373">
        <f t="shared" ref="H17:I17" si="2">SUM(H10:H15)</f>
        <v>50000</v>
      </c>
      <c r="I17" s="373">
        <f t="shared" si="2"/>
        <v>8685108</v>
      </c>
      <c r="J17" s="374"/>
      <c r="K17" s="375">
        <f>K15+K13+K10</f>
        <v>50000</v>
      </c>
      <c r="L17" s="375">
        <f>L15+L13+L10</f>
        <v>8735108</v>
      </c>
      <c r="N17" s="376">
        <f t="shared" ref="N17:O17" si="3">N15+N13+N10</f>
        <v>50000</v>
      </c>
      <c r="O17" s="376">
        <f t="shared" si="3"/>
        <v>8785108</v>
      </c>
      <c r="Q17" s="376">
        <f t="shared" ref="Q17:R17" si="4">Q15+Q13+Q10</f>
        <v>50000</v>
      </c>
      <c r="R17" s="376">
        <f t="shared" si="4"/>
        <v>8835108</v>
      </c>
      <c r="T17" s="376">
        <f>T15+T13+T10</f>
        <v>50000</v>
      </c>
      <c r="U17" s="376">
        <f>U15+U13+U10</f>
        <v>8885108</v>
      </c>
      <c r="W17" s="376">
        <f>W15+W13+W10</f>
        <v>50000</v>
      </c>
      <c r="X17" s="376">
        <f>X15+X13+X10</f>
        <v>8935108</v>
      </c>
    </row>
    <row r="18" spans="2:24" ht="18" x14ac:dyDescent="0.2">
      <c r="C18" s="366"/>
      <c r="D18" s="366"/>
      <c r="E18" s="366"/>
      <c r="F18" s="366"/>
      <c r="G18" s="366"/>
      <c r="H18" s="366"/>
      <c r="I18" s="366"/>
      <c r="J18" s="366"/>
      <c r="K18" s="364"/>
      <c r="L18" s="364"/>
    </row>
    <row r="19" spans="2:24" ht="20" x14ac:dyDescent="0.2">
      <c r="B19" s="298" t="s">
        <v>237</v>
      </c>
      <c r="C19" s="366"/>
      <c r="D19" s="377">
        <f>(D10+D13)-(C10+C13)</f>
        <v>863838</v>
      </c>
      <c r="E19" s="377">
        <f t="shared" ref="E19" si="5">(E10+E13)-(D10+D13)</f>
        <v>0</v>
      </c>
      <c r="F19" s="377">
        <f>(F10+F13)-(E10+E13)</f>
        <v>17000</v>
      </c>
      <c r="G19" s="377">
        <f>(G10+G13)-(F10+F13)</f>
        <v>-500000</v>
      </c>
      <c r="H19" s="366"/>
      <c r="I19" s="377">
        <f>(I10+I13)-(G10+G13)</f>
        <v>3050000</v>
      </c>
      <c r="J19" s="366"/>
      <c r="K19" s="364"/>
      <c r="L19" s="364"/>
    </row>
    <row r="20" spans="2:24" ht="20" x14ac:dyDescent="0.2">
      <c r="B20" s="298" t="s">
        <v>238</v>
      </c>
      <c r="C20" s="366"/>
      <c r="D20" s="377">
        <f t="shared" ref="D20:E20" si="6">D15-C15</f>
        <v>-79269</v>
      </c>
      <c r="E20" s="377">
        <f t="shared" si="6"/>
        <v>623391</v>
      </c>
      <c r="F20" s="377">
        <f>F15-E15</f>
        <v>1199300</v>
      </c>
      <c r="G20" s="377">
        <f>G15-F15</f>
        <v>825120</v>
      </c>
      <c r="H20" s="366"/>
      <c r="I20" s="377">
        <f>I15-G15</f>
        <v>-3000000</v>
      </c>
      <c r="J20" s="366"/>
      <c r="K20" s="364"/>
      <c r="L20" s="364"/>
    </row>
    <row r="21" spans="2:24" ht="18" x14ac:dyDescent="0.2">
      <c r="C21" s="366"/>
      <c r="D21" s="366"/>
      <c r="E21" s="366"/>
      <c r="F21" s="366"/>
      <c r="G21" s="366"/>
      <c r="H21" s="366"/>
      <c r="I21" s="366"/>
      <c r="J21" s="366"/>
      <c r="K21" s="364"/>
      <c r="L21" s="364"/>
    </row>
    <row r="22" spans="2:24" ht="20" x14ac:dyDescent="0.2">
      <c r="B22" s="298" t="s">
        <v>239</v>
      </c>
      <c r="C22" s="366"/>
      <c r="D22" s="366">
        <f>938080</f>
        <v>938080</v>
      </c>
      <c r="E22" s="366">
        <f>215164+1400000</f>
        <v>1615164</v>
      </c>
      <c r="F22" s="366">
        <f>325915</f>
        <v>325915</v>
      </c>
      <c r="G22" s="366">
        <f>152703</f>
        <v>152703</v>
      </c>
      <c r="H22" s="367">
        <v>10000</v>
      </c>
      <c r="I22" s="366">
        <f>H22+G22</f>
        <v>162703</v>
      </c>
      <c r="J22" s="366"/>
      <c r="K22" s="367">
        <v>1250</v>
      </c>
      <c r="L22" s="368">
        <f>K22+I22</f>
        <v>163953</v>
      </c>
      <c r="N22" s="378">
        <v>1250</v>
      </c>
      <c r="O22" s="369">
        <f>N22+L22</f>
        <v>165203</v>
      </c>
      <c r="Q22" s="378">
        <v>1250</v>
      </c>
      <c r="R22" s="369">
        <f>Q22+O22</f>
        <v>166453</v>
      </c>
      <c r="T22" s="378">
        <v>1250</v>
      </c>
      <c r="U22" s="369">
        <f>T22+R22</f>
        <v>167703</v>
      </c>
      <c r="W22" s="378">
        <v>1250</v>
      </c>
      <c r="X22" s="369">
        <f>W22+U22</f>
        <v>168953</v>
      </c>
    </row>
    <row r="23" spans="2:24" ht="18" x14ac:dyDescent="0.2">
      <c r="C23" s="366"/>
      <c r="D23" s="366"/>
      <c r="E23" s="366"/>
      <c r="F23" s="366"/>
      <c r="G23" s="366"/>
      <c r="H23" s="366"/>
      <c r="I23" s="366"/>
      <c r="J23" s="366"/>
      <c r="K23" s="213"/>
      <c r="L23" s="213"/>
    </row>
    <row r="24" spans="2:24" ht="18" x14ac:dyDescent="0.2">
      <c r="C24" s="366"/>
      <c r="D24" s="366"/>
      <c r="E24" s="366"/>
      <c r="F24" s="366"/>
      <c r="G24" s="366"/>
      <c r="H24" s="366"/>
      <c r="I24" s="366"/>
      <c r="J24" s="366"/>
      <c r="K24" s="213"/>
      <c r="L24" s="213"/>
    </row>
    <row r="25" spans="2:24" ht="26" x14ac:dyDescent="0.4">
      <c r="C25" s="358" t="s">
        <v>240</v>
      </c>
      <c r="H25" s="366"/>
      <c r="I25" s="366"/>
      <c r="J25" s="366"/>
      <c r="K25" s="213"/>
      <c r="L25" s="358" t="s">
        <v>240</v>
      </c>
    </row>
    <row r="26" spans="2:24" ht="18" x14ac:dyDescent="0.2">
      <c r="H26" s="366"/>
      <c r="I26" s="366"/>
      <c r="J26" s="366"/>
      <c r="K26" s="213"/>
      <c r="L26" s="213"/>
    </row>
    <row r="27" spans="2:24" ht="20" x14ac:dyDescent="0.2">
      <c r="C27" s="293">
        <f>C8</f>
        <v>2018</v>
      </c>
      <c r="D27" s="293">
        <f t="shared" ref="D27:G27" si="7">D8</f>
        <v>2019</v>
      </c>
      <c r="E27" s="293">
        <f t="shared" si="7"/>
        <v>2020</v>
      </c>
      <c r="F27" s="293">
        <f t="shared" si="7"/>
        <v>2021</v>
      </c>
      <c r="G27" s="293">
        <f t="shared" si="7"/>
        <v>2022</v>
      </c>
      <c r="H27" s="293">
        <f>G27+1</f>
        <v>2023</v>
      </c>
      <c r="I27" s="366"/>
      <c r="J27" s="366"/>
      <c r="K27" s="293">
        <f>K8</f>
        <v>2024</v>
      </c>
      <c r="L27" s="293">
        <f>K27</f>
        <v>2024</v>
      </c>
      <c r="N27" s="293">
        <f>K27+1</f>
        <v>2025</v>
      </c>
      <c r="O27" s="293">
        <f>N27</f>
        <v>2025</v>
      </c>
      <c r="Q27" s="293">
        <f>N27+1</f>
        <v>2026</v>
      </c>
      <c r="R27" s="293">
        <f>Q27</f>
        <v>2026</v>
      </c>
      <c r="T27" s="293">
        <f>Q27+1</f>
        <v>2027</v>
      </c>
      <c r="U27" s="293">
        <f>T27</f>
        <v>2027</v>
      </c>
      <c r="W27" s="293">
        <f>T27+1</f>
        <v>2028</v>
      </c>
      <c r="X27" s="293">
        <f>W27</f>
        <v>2028</v>
      </c>
    </row>
    <row r="28" spans="2:24" ht="21" thickBot="1" x14ac:dyDescent="0.25">
      <c r="C28" s="363" t="s">
        <v>113</v>
      </c>
      <c r="D28" s="363" t="s">
        <v>113</v>
      </c>
      <c r="E28" s="363" t="s">
        <v>113</v>
      </c>
      <c r="F28" s="363" t="s">
        <v>113</v>
      </c>
      <c r="G28" s="363" t="s">
        <v>113</v>
      </c>
      <c r="H28" s="364" t="s">
        <v>98</v>
      </c>
      <c r="I28" s="366"/>
      <c r="J28" s="366"/>
      <c r="K28" s="379" t="s">
        <v>144</v>
      </c>
      <c r="L28" s="379" t="s">
        <v>232</v>
      </c>
      <c r="N28" s="379" t="s">
        <v>144</v>
      </c>
      <c r="O28" s="379" t="s">
        <v>232</v>
      </c>
      <c r="Q28" s="379" t="s">
        <v>144</v>
      </c>
      <c r="R28" s="379" t="s">
        <v>232</v>
      </c>
      <c r="T28" s="379" t="s">
        <v>144</v>
      </c>
      <c r="U28" s="379" t="s">
        <v>232</v>
      </c>
      <c r="W28" s="379" t="s">
        <v>144</v>
      </c>
      <c r="X28" s="379" t="s">
        <v>232</v>
      </c>
    </row>
    <row r="29" spans="2:24" ht="18" x14ac:dyDescent="0.2">
      <c r="B29" s="223" t="s">
        <v>241</v>
      </c>
      <c r="C29" s="366">
        <v>1135382</v>
      </c>
      <c r="D29" s="366">
        <v>1041190</v>
      </c>
      <c r="E29" s="366">
        <v>1075232</v>
      </c>
      <c r="F29" s="366">
        <v>21650</v>
      </c>
      <c r="G29" s="366">
        <v>560795</v>
      </c>
      <c r="H29" s="380">
        <f>400*2000</f>
        <v>800000</v>
      </c>
      <c r="K29" s="367">
        <f>H36*K34</f>
        <v>800000</v>
      </c>
      <c r="L29" s="368">
        <f>L34*H36</f>
        <v>1600000</v>
      </c>
      <c r="N29" s="367">
        <f>N34*L36</f>
        <v>40000</v>
      </c>
      <c r="O29" s="368">
        <f>N29+L29</f>
        <v>1640000</v>
      </c>
      <c r="Q29" s="367">
        <f>Q34*O36</f>
        <v>40000</v>
      </c>
      <c r="R29" s="368">
        <f>Q29+O29</f>
        <v>1680000</v>
      </c>
      <c r="T29" s="367">
        <f>T34*R36</f>
        <v>40000</v>
      </c>
      <c r="U29" s="368">
        <f>T29+R29</f>
        <v>1720000</v>
      </c>
      <c r="W29" s="367">
        <f>W34*U36</f>
        <v>40000</v>
      </c>
      <c r="X29" s="368">
        <f>W29+U29</f>
        <v>1760000</v>
      </c>
    </row>
    <row r="30" spans="2:24" ht="18" x14ac:dyDescent="0.2">
      <c r="B30" s="223" t="s">
        <v>242</v>
      </c>
      <c r="C30" s="366">
        <f>-741850</f>
        <v>-741850</v>
      </c>
      <c r="D30" s="366">
        <f>-635672</f>
        <v>-635672</v>
      </c>
      <c r="E30" s="366">
        <f>-682972</f>
        <v>-682972</v>
      </c>
      <c r="F30" s="366">
        <f>-41884</f>
        <v>-41884</v>
      </c>
      <c r="G30" s="366">
        <f>-446070</f>
        <v>-446070</v>
      </c>
      <c r="H30" s="380">
        <f>-550000</f>
        <v>-550000</v>
      </c>
      <c r="K30" s="381">
        <f>H38*K34</f>
        <v>-550000</v>
      </c>
      <c r="L30" s="382">
        <f>K30+H30</f>
        <v>-1100000</v>
      </c>
      <c r="M30" s="383"/>
      <c r="N30" s="381">
        <f>N34*L38</f>
        <v>-27500</v>
      </c>
      <c r="O30" s="382">
        <f>N30+L30</f>
        <v>-1127500</v>
      </c>
      <c r="P30" s="383"/>
      <c r="Q30" s="381">
        <f>Q34*O38</f>
        <v>-27500</v>
      </c>
      <c r="R30" s="382">
        <f>Q30+O30</f>
        <v>-1155000</v>
      </c>
      <c r="S30" s="383"/>
      <c r="T30" s="381">
        <f>T34*R38</f>
        <v>0</v>
      </c>
      <c r="U30" s="382">
        <f>T30+R30</f>
        <v>-1155000</v>
      </c>
      <c r="V30" s="383"/>
      <c r="W30" s="381">
        <f>W34*U38</f>
        <v>0</v>
      </c>
      <c r="X30" s="382">
        <f>W30+U30</f>
        <v>-1155000</v>
      </c>
    </row>
    <row r="31" spans="2:24" ht="18" x14ac:dyDescent="0.2">
      <c r="B31" s="213"/>
      <c r="C31" s="366"/>
      <c r="D31" s="366"/>
      <c r="E31" s="366"/>
      <c r="F31" s="366"/>
      <c r="G31" s="366"/>
      <c r="H31" s="366"/>
      <c r="K31" s="213"/>
      <c r="L31" s="213"/>
      <c r="N31" s="213"/>
      <c r="O31" s="213"/>
      <c r="Q31" s="213"/>
      <c r="R31" s="213"/>
      <c r="T31" s="213"/>
      <c r="U31" s="213"/>
      <c r="W31" s="213"/>
      <c r="X31" s="213"/>
    </row>
    <row r="32" spans="2:24" ht="18" x14ac:dyDescent="0.2">
      <c r="B32" s="223" t="s">
        <v>243</v>
      </c>
      <c r="C32" s="373">
        <f t="shared" ref="C32:F32" si="8">C30+C29</f>
        <v>393532</v>
      </c>
      <c r="D32" s="373">
        <f t="shared" si="8"/>
        <v>405518</v>
      </c>
      <c r="E32" s="373">
        <f t="shared" si="8"/>
        <v>392260</v>
      </c>
      <c r="F32" s="373">
        <f t="shared" si="8"/>
        <v>-20234</v>
      </c>
      <c r="G32" s="373">
        <f>G30+G29</f>
        <v>114725</v>
      </c>
      <c r="H32" s="373">
        <f>H30+H29</f>
        <v>250000</v>
      </c>
      <c r="K32" s="373">
        <f t="shared" ref="K32:L32" si="9">K30+K29</f>
        <v>250000</v>
      </c>
      <c r="L32" s="373">
        <f t="shared" si="9"/>
        <v>500000</v>
      </c>
      <c r="N32" s="373">
        <f>N30+N29</f>
        <v>12500</v>
      </c>
      <c r="O32" s="373">
        <f>N32+L32</f>
        <v>512500</v>
      </c>
      <c r="Q32" s="373">
        <f>Q30+Q29</f>
        <v>12500</v>
      </c>
      <c r="R32" s="373">
        <f>Q32+O32</f>
        <v>525000</v>
      </c>
      <c r="T32" s="373">
        <f>T30+T29</f>
        <v>40000</v>
      </c>
      <c r="U32" s="373">
        <f>T32+R32</f>
        <v>565000</v>
      </c>
      <c r="W32" s="373">
        <f>W30+W29</f>
        <v>40000</v>
      </c>
      <c r="X32" s="373">
        <f>W32+U32</f>
        <v>605000</v>
      </c>
    </row>
    <row r="33" spans="2:24" ht="18" x14ac:dyDescent="0.2">
      <c r="B33" s="213"/>
      <c r="C33" s="366"/>
      <c r="D33" s="366"/>
      <c r="E33" s="366"/>
      <c r="F33" s="366"/>
      <c r="G33" s="366"/>
      <c r="K33" s="213"/>
      <c r="L33" s="213"/>
      <c r="N33" s="213"/>
      <c r="O33" s="213"/>
      <c r="Q33" s="213"/>
      <c r="R33" s="213"/>
      <c r="T33" s="213"/>
      <c r="U33" s="213"/>
      <c r="W33" s="213"/>
      <c r="X33" s="213"/>
    </row>
    <row r="34" spans="2:24" ht="18" x14ac:dyDescent="0.2">
      <c r="B34" s="223" t="s">
        <v>244</v>
      </c>
      <c r="C34" s="384">
        <v>3674</v>
      </c>
      <c r="D34" s="384">
        <v>3414</v>
      </c>
      <c r="E34" s="384">
        <v>3361</v>
      </c>
      <c r="F34" s="384">
        <v>0</v>
      </c>
      <c r="G34" s="384">
        <v>1438</v>
      </c>
      <c r="H34" s="384">
        <v>2000</v>
      </c>
      <c r="K34" s="384">
        <v>2000</v>
      </c>
      <c r="L34" s="385">
        <f>K34+H34</f>
        <v>4000</v>
      </c>
      <c r="N34" s="384">
        <v>100</v>
      </c>
      <c r="O34" s="385">
        <f>N34+L34</f>
        <v>4100</v>
      </c>
      <c r="Q34" s="384">
        <v>100</v>
      </c>
      <c r="R34" s="385">
        <f>Q34+O34</f>
        <v>4200</v>
      </c>
      <c r="T34" s="384">
        <v>100</v>
      </c>
      <c r="U34" s="385">
        <f>T34+R34</f>
        <v>4300</v>
      </c>
      <c r="W34" s="384">
        <v>100</v>
      </c>
      <c r="X34" s="385">
        <f>W34+U34</f>
        <v>4400</v>
      </c>
    </row>
    <row r="35" spans="2:24" ht="18" x14ac:dyDescent="0.2">
      <c r="B35" s="213"/>
      <c r="K35" s="213"/>
      <c r="L35" s="213"/>
      <c r="N35" s="213"/>
      <c r="O35" s="213"/>
      <c r="Q35" s="213"/>
      <c r="R35" s="213"/>
      <c r="T35" s="213"/>
      <c r="U35" s="213"/>
      <c r="W35" s="213"/>
      <c r="X35" s="213"/>
    </row>
    <row r="36" spans="2:24" ht="18" x14ac:dyDescent="0.2">
      <c r="B36" s="223" t="s">
        <v>245</v>
      </c>
      <c r="C36" s="386">
        <f>C29/C34</f>
        <v>309.03157321720198</v>
      </c>
      <c r="D36" s="386">
        <f t="shared" ref="D36:H36" si="10">D29/D34</f>
        <v>304.97656707674281</v>
      </c>
      <c r="E36" s="386">
        <f t="shared" si="10"/>
        <v>319.9143112168997</v>
      </c>
      <c r="F36" s="386" t="e">
        <f t="shared" si="10"/>
        <v>#DIV/0!</v>
      </c>
      <c r="G36" s="386">
        <f t="shared" si="10"/>
        <v>389.98261474269822</v>
      </c>
      <c r="H36" s="386">
        <f t="shared" si="10"/>
        <v>400</v>
      </c>
      <c r="K36" s="386">
        <f t="shared" ref="K36:L36" si="11">K29/K34</f>
        <v>400</v>
      </c>
      <c r="L36" s="386">
        <f t="shared" si="11"/>
        <v>400</v>
      </c>
      <c r="N36" s="386">
        <f t="shared" ref="N36:O36" si="12">N29/N34</f>
        <v>400</v>
      </c>
      <c r="O36" s="386">
        <f t="shared" si="12"/>
        <v>400</v>
      </c>
      <c r="Q36" s="386">
        <f t="shared" ref="Q36:R36" si="13">Q29/Q34</f>
        <v>400</v>
      </c>
      <c r="R36" s="386">
        <f t="shared" si="13"/>
        <v>400</v>
      </c>
      <c r="T36" s="386">
        <f t="shared" ref="T36:U36" si="14">T29/T34</f>
        <v>400</v>
      </c>
      <c r="U36" s="386">
        <f t="shared" si="14"/>
        <v>400</v>
      </c>
      <c r="W36" s="386">
        <f t="shared" ref="W36:X36" si="15">W29/W34</f>
        <v>400</v>
      </c>
      <c r="X36" s="386">
        <f t="shared" si="15"/>
        <v>400</v>
      </c>
    </row>
    <row r="37" spans="2:24" ht="18" x14ac:dyDescent="0.2">
      <c r="B37" s="223"/>
      <c r="C37" s="374"/>
      <c r="D37" s="374"/>
      <c r="E37" s="374"/>
      <c r="F37" s="374"/>
      <c r="G37" s="374"/>
      <c r="H37" s="374"/>
      <c r="K37" s="374"/>
      <c r="L37" s="374"/>
      <c r="N37" s="374"/>
      <c r="O37" s="374"/>
      <c r="Q37" s="374"/>
      <c r="R37" s="374"/>
      <c r="T37" s="374"/>
      <c r="U37" s="374"/>
      <c r="W37" s="374"/>
      <c r="X37" s="374"/>
    </row>
    <row r="38" spans="2:24" ht="18" x14ac:dyDescent="0.2">
      <c r="B38" s="223" t="s">
        <v>246</v>
      </c>
      <c r="C38" s="373">
        <f>C30/C34</f>
        <v>-201.91888949373978</v>
      </c>
      <c r="D38" s="373">
        <f t="shared" ref="D38:H38" si="16">D30/D34</f>
        <v>-186.19566490919743</v>
      </c>
      <c r="E38" s="373">
        <f t="shared" si="16"/>
        <v>-203.20499851234752</v>
      </c>
      <c r="F38" s="373" t="e">
        <f t="shared" si="16"/>
        <v>#DIV/0!</v>
      </c>
      <c r="G38" s="373">
        <f t="shared" si="16"/>
        <v>-310.20166898470097</v>
      </c>
      <c r="H38" s="373">
        <f t="shared" si="16"/>
        <v>-275</v>
      </c>
      <c r="K38" s="373">
        <f>K30/K34</f>
        <v>-275</v>
      </c>
      <c r="L38" s="373">
        <f t="shared" ref="L38:O38" si="17">L30/L34</f>
        <v>-275</v>
      </c>
      <c r="M38" s="374"/>
      <c r="N38" s="373">
        <f t="shared" si="17"/>
        <v>-275</v>
      </c>
      <c r="O38" s="373">
        <f t="shared" si="17"/>
        <v>-275</v>
      </c>
      <c r="P38" s="374"/>
      <c r="Q38" s="373">
        <f t="shared" ref="Q38" si="18">Q30/Q34</f>
        <v>-275</v>
      </c>
      <c r="R38" s="374"/>
      <c r="T38" s="373">
        <f t="shared" ref="T38" si="19">T30/T34</f>
        <v>0</v>
      </c>
      <c r="U38" s="374"/>
      <c r="W38" s="373">
        <f t="shared" ref="W38" si="20">W30/W34</f>
        <v>0</v>
      </c>
      <c r="X38" s="374"/>
    </row>
    <row r="40" spans="2:24" ht="18" x14ac:dyDescent="0.2">
      <c r="B40" s="223" t="s">
        <v>247</v>
      </c>
      <c r="C40" s="386">
        <f>C36+C38</f>
        <v>107.1126837234622</v>
      </c>
      <c r="D40" s="386">
        <f t="shared" ref="D40:H40" si="21">D36+D38</f>
        <v>118.78090216754538</v>
      </c>
      <c r="E40" s="386">
        <f t="shared" si="21"/>
        <v>116.70931270455219</v>
      </c>
      <c r="F40" s="386" t="e">
        <f t="shared" si="21"/>
        <v>#DIV/0!</v>
      </c>
      <c r="G40" s="386">
        <f t="shared" si="21"/>
        <v>79.780945757997245</v>
      </c>
      <c r="H40" s="386">
        <f t="shared" si="21"/>
        <v>125</v>
      </c>
      <c r="K40" s="386">
        <f t="shared" ref="K40:L40" si="22">K32/K34</f>
        <v>125</v>
      </c>
      <c r="L40" s="386">
        <f t="shared" si="22"/>
        <v>125</v>
      </c>
      <c r="N40" s="386">
        <f t="shared" ref="N40:O40" si="23">N32/N34</f>
        <v>125</v>
      </c>
      <c r="O40" s="386">
        <f t="shared" si="23"/>
        <v>125</v>
      </c>
      <c r="Q40" s="386">
        <f t="shared" ref="Q40:R40" si="24">Q32/Q34</f>
        <v>125</v>
      </c>
      <c r="R40" s="386">
        <f t="shared" si="24"/>
        <v>125</v>
      </c>
      <c r="T40" s="386">
        <f t="shared" ref="T40:U40" si="25">T32/T34</f>
        <v>400</v>
      </c>
      <c r="U40" s="386">
        <f t="shared" si="25"/>
        <v>131.3953488372093</v>
      </c>
      <c r="W40" s="386">
        <f t="shared" ref="W40:X40" si="26">W32/W34</f>
        <v>400</v>
      </c>
      <c r="X40" s="386">
        <f t="shared" si="26"/>
        <v>137.5</v>
      </c>
    </row>
    <row r="43" spans="2:24" ht="18" x14ac:dyDescent="0.2">
      <c r="C43" s="387"/>
      <c r="D43" s="387"/>
      <c r="E43" s="387"/>
      <c r="F43" s="387"/>
      <c r="G43" s="387"/>
      <c r="H43" s="387"/>
    </row>
    <row r="44" spans="2:24" ht="18" x14ac:dyDescent="0.2">
      <c r="G44" s="36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2:Q39"/>
  <sheetViews>
    <sheetView view="pageLayout" zoomScale="130" zoomScaleNormal="100" zoomScalePageLayoutView="130" workbookViewId="0">
      <selection activeCell="D40" sqref="D40"/>
    </sheetView>
  </sheetViews>
  <sheetFormatPr baseColWidth="10" defaultColWidth="9.1640625" defaultRowHeight="11" x14ac:dyDescent="0.15"/>
  <cols>
    <col min="1" max="1" width="2" style="1" customWidth="1"/>
    <col min="2" max="2" width="27.6640625" style="1" customWidth="1"/>
    <col min="3" max="3" width="7.6640625" style="14" customWidth="1"/>
    <col min="4" max="4" width="9.1640625" style="1"/>
    <col min="5" max="5" width="1.1640625" style="18" customWidth="1"/>
    <col min="6" max="6" width="7.6640625" style="1" customWidth="1"/>
    <col min="7" max="7" width="9.1640625" style="1"/>
    <col min="8" max="8" width="1.5" style="1" customWidth="1"/>
    <col min="9" max="9" width="7.6640625" style="1" customWidth="1"/>
    <col min="10" max="10" width="9.1640625" style="1"/>
    <col min="11" max="11" width="1.1640625" style="1" customWidth="1"/>
    <col min="12" max="12" width="7.6640625" style="1" customWidth="1"/>
    <col min="13" max="13" width="9.1640625" style="1"/>
    <col min="14" max="14" width="1.1640625" style="1" customWidth="1"/>
    <col min="15" max="15" width="7.6640625" style="1" customWidth="1"/>
    <col min="16" max="16384" width="9.1640625" style="1"/>
  </cols>
  <sheetData>
    <row r="2" spans="1:17" ht="16" customHeight="1" x14ac:dyDescent="0.2">
      <c r="A2" s="106" t="s">
        <v>108</v>
      </c>
      <c r="G2" s="41" t="str">
        <f>Setup!B2</f>
        <v xml:space="preserve">Five Year Operating and Membership Plan </v>
      </c>
    </row>
    <row r="3" spans="1:17" ht="26" x14ac:dyDescent="0.4">
      <c r="A3" s="390" t="str">
        <f>Setup!B6&amp;" Council Plan Growth Assumptions"</f>
        <v>Sample Council- #0325 Council Plan Growth Assumptions</v>
      </c>
      <c r="B3" s="390"/>
      <c r="C3" s="390"/>
      <c r="D3" s="390"/>
      <c r="E3" s="390"/>
      <c r="F3" s="390"/>
      <c r="G3" s="390"/>
      <c r="H3" s="390"/>
      <c r="I3" s="390"/>
      <c r="J3" s="390"/>
      <c r="K3" s="390"/>
      <c r="L3" s="390"/>
      <c r="M3" s="390"/>
      <c r="N3" s="390"/>
      <c r="O3" s="390"/>
      <c r="P3" s="390"/>
    </row>
    <row r="4" spans="1:17" ht="11" customHeight="1" x14ac:dyDescent="0.15"/>
    <row r="5" spans="1:17" s="22" customFormat="1" ht="18" customHeight="1" thickBot="1" x14ac:dyDescent="0.2">
      <c r="C5" s="392">
        <f>Setup!$B4+1</f>
        <v>2023</v>
      </c>
      <c r="D5" s="392"/>
      <c r="E5" s="54"/>
      <c r="F5" s="392">
        <f>Setup!$B4+2</f>
        <v>2024</v>
      </c>
      <c r="G5" s="392"/>
      <c r="H5" s="54"/>
      <c r="I5" s="392">
        <f>Setup!$B4+3</f>
        <v>2025</v>
      </c>
      <c r="J5" s="392"/>
      <c r="K5" s="54"/>
      <c r="L5" s="392">
        <f>Setup!$B4+4</f>
        <v>2026</v>
      </c>
      <c r="M5" s="392"/>
      <c r="N5" s="54"/>
      <c r="O5" s="392">
        <f>Setup!$B4+5</f>
        <v>2027</v>
      </c>
      <c r="P5" s="392"/>
    </row>
    <row r="6" spans="1:17" ht="30" customHeight="1" thickBot="1" x14ac:dyDescent="0.25">
      <c r="A6" s="33" t="s">
        <v>38</v>
      </c>
      <c r="C6" s="250" t="s">
        <v>1</v>
      </c>
      <c r="D6" s="251" t="s">
        <v>2</v>
      </c>
      <c r="E6" s="19"/>
      <c r="F6" s="250" t="s">
        <v>1</v>
      </c>
      <c r="G6" s="251" t="s">
        <v>2</v>
      </c>
      <c r="H6" s="19"/>
      <c r="I6" s="250" t="s">
        <v>1</v>
      </c>
      <c r="J6" s="251" t="s">
        <v>2</v>
      </c>
      <c r="K6" s="19"/>
      <c r="L6" s="250" t="s">
        <v>1</v>
      </c>
      <c r="M6" s="251" t="s">
        <v>2</v>
      </c>
      <c r="N6" s="19"/>
      <c r="O6" s="250" t="s">
        <v>1</v>
      </c>
      <c r="P6" s="251" t="s">
        <v>2</v>
      </c>
    </row>
    <row r="7" spans="1:17" ht="4" customHeight="1" thickBot="1" x14ac:dyDescent="0.2">
      <c r="A7" s="4"/>
      <c r="D7" s="2"/>
      <c r="E7" s="23"/>
      <c r="F7" s="3"/>
      <c r="G7" s="2"/>
      <c r="H7" s="23"/>
      <c r="I7" s="3"/>
      <c r="J7" s="2"/>
      <c r="K7" s="23"/>
      <c r="L7" s="3"/>
      <c r="M7" s="2"/>
      <c r="N7" s="23"/>
      <c r="O7" s="3"/>
      <c r="P7" s="2"/>
    </row>
    <row r="8" spans="1:17" ht="15" customHeight="1" thickBot="1" x14ac:dyDescent="0.2">
      <c r="B8" s="44" t="s">
        <v>15</v>
      </c>
      <c r="C8" s="55">
        <v>0.03</v>
      </c>
      <c r="D8" s="56">
        <v>0</v>
      </c>
      <c r="E8" s="252"/>
      <c r="F8" s="55">
        <v>0.03</v>
      </c>
      <c r="G8" s="56">
        <v>0</v>
      </c>
      <c r="H8" s="257"/>
      <c r="I8" s="55">
        <v>0.03</v>
      </c>
      <c r="J8" s="56">
        <v>0</v>
      </c>
      <c r="K8" s="257"/>
      <c r="L8" s="55">
        <v>0.03</v>
      </c>
      <c r="M8" s="56">
        <v>0</v>
      </c>
      <c r="N8" s="257"/>
      <c r="O8" s="55">
        <v>0.03</v>
      </c>
      <c r="P8" s="56">
        <v>0</v>
      </c>
      <c r="Q8" s="20"/>
    </row>
    <row r="9" spans="1:17" ht="15" customHeight="1" thickBot="1" x14ac:dyDescent="0.2">
      <c r="B9" s="44" t="s">
        <v>13</v>
      </c>
      <c r="C9" s="55">
        <v>0</v>
      </c>
      <c r="D9" s="57"/>
      <c r="E9" s="252"/>
      <c r="F9" s="55">
        <v>0</v>
      </c>
      <c r="G9" s="57"/>
      <c r="H9" s="257"/>
      <c r="I9" s="55">
        <v>0</v>
      </c>
      <c r="J9" s="57"/>
      <c r="K9" s="257"/>
      <c r="L9" s="55">
        <v>0</v>
      </c>
      <c r="M9" s="57"/>
      <c r="N9" s="257"/>
      <c r="O9" s="55">
        <v>0</v>
      </c>
      <c r="P9" s="57"/>
      <c r="Q9" s="20"/>
    </row>
    <row r="10" spans="1:17" ht="15" customHeight="1" thickBot="1" x14ac:dyDescent="0.2">
      <c r="B10" s="44" t="s">
        <v>16</v>
      </c>
      <c r="C10" s="55">
        <v>0.03</v>
      </c>
      <c r="D10" s="57">
        <v>0</v>
      </c>
      <c r="E10" s="252"/>
      <c r="F10" s="55">
        <v>0.03</v>
      </c>
      <c r="G10" s="57"/>
      <c r="H10" s="257"/>
      <c r="I10" s="55">
        <v>0.03</v>
      </c>
      <c r="J10" s="57">
        <v>0</v>
      </c>
      <c r="K10" s="257"/>
      <c r="L10" s="55">
        <v>0.03</v>
      </c>
      <c r="M10" s="57">
        <v>0</v>
      </c>
      <c r="N10" s="257"/>
      <c r="O10" s="55">
        <v>0.03</v>
      </c>
      <c r="P10" s="57"/>
      <c r="Q10" s="20"/>
    </row>
    <row r="11" spans="1:17" ht="15" customHeight="1" thickBot="1" x14ac:dyDescent="0.2">
      <c r="B11" s="44" t="s">
        <v>17</v>
      </c>
      <c r="C11" s="55">
        <v>0</v>
      </c>
      <c r="D11" s="57"/>
      <c r="E11" s="252"/>
      <c r="F11" s="55">
        <v>0</v>
      </c>
      <c r="G11" s="57"/>
      <c r="H11" s="257"/>
      <c r="I11" s="55">
        <v>0</v>
      </c>
      <c r="J11" s="57"/>
      <c r="K11" s="257"/>
      <c r="L11" s="55">
        <v>0</v>
      </c>
      <c r="M11" s="57"/>
      <c r="N11" s="257"/>
      <c r="O11" s="55">
        <v>0</v>
      </c>
      <c r="P11" s="57"/>
      <c r="Q11" s="20"/>
    </row>
    <row r="12" spans="1:17" ht="15" customHeight="1" thickBot="1" x14ac:dyDescent="0.2">
      <c r="B12" s="44" t="s">
        <v>14</v>
      </c>
      <c r="C12" s="55">
        <v>0</v>
      </c>
      <c r="D12" s="57">
        <v>0</v>
      </c>
      <c r="E12" s="252"/>
      <c r="F12" s="55">
        <v>0</v>
      </c>
      <c r="G12" s="57">
        <v>0</v>
      </c>
      <c r="H12" s="257"/>
      <c r="I12" s="55">
        <v>0</v>
      </c>
      <c r="J12" s="57">
        <v>0</v>
      </c>
      <c r="K12" s="257"/>
      <c r="L12" s="55">
        <v>0</v>
      </c>
      <c r="M12" s="57">
        <v>0</v>
      </c>
      <c r="N12" s="257"/>
      <c r="O12" s="55">
        <v>0</v>
      </c>
      <c r="P12" s="57"/>
      <c r="Q12" s="20"/>
    </row>
    <row r="13" spans="1:17" ht="15" customHeight="1" x14ac:dyDescent="0.15">
      <c r="B13" s="44" t="s">
        <v>18</v>
      </c>
      <c r="C13" s="65">
        <v>0</v>
      </c>
      <c r="D13" s="58"/>
      <c r="E13" s="252"/>
      <c r="F13" s="65">
        <v>0</v>
      </c>
      <c r="G13" s="58"/>
      <c r="H13" s="257"/>
      <c r="I13" s="65">
        <v>0</v>
      </c>
      <c r="J13" s="58"/>
      <c r="K13" s="257"/>
      <c r="L13" s="65">
        <v>0</v>
      </c>
      <c r="M13" s="58"/>
      <c r="N13" s="257"/>
      <c r="O13" s="65">
        <v>0</v>
      </c>
      <c r="P13" s="58"/>
      <c r="Q13" s="20"/>
    </row>
    <row r="14" spans="1:17" ht="15" customHeight="1" x14ac:dyDescent="0.15">
      <c r="B14" s="77" t="s">
        <v>32</v>
      </c>
      <c r="C14" s="88"/>
      <c r="D14" s="79"/>
      <c r="E14" s="253"/>
      <c r="F14" s="88"/>
      <c r="G14" s="79"/>
      <c r="H14" s="258"/>
      <c r="I14" s="88"/>
      <c r="J14" s="79"/>
      <c r="K14" s="258"/>
      <c r="L14" s="88"/>
      <c r="M14" s="79"/>
      <c r="N14" s="258"/>
      <c r="O14" s="88"/>
      <c r="P14" s="79"/>
      <c r="Q14" s="21"/>
    </row>
    <row r="15" spans="1:17" ht="15" customHeight="1" thickBot="1" x14ac:dyDescent="0.2">
      <c r="B15" s="44" t="s">
        <v>19</v>
      </c>
      <c r="C15" s="71">
        <v>0</v>
      </c>
      <c r="D15" s="60"/>
      <c r="E15" s="252"/>
      <c r="F15" s="71">
        <v>0</v>
      </c>
      <c r="G15" s="60"/>
      <c r="H15" s="257"/>
      <c r="I15" s="71">
        <v>0</v>
      </c>
      <c r="J15" s="60"/>
      <c r="K15" s="257"/>
      <c r="L15" s="71">
        <v>0</v>
      </c>
      <c r="M15" s="60"/>
      <c r="N15" s="257"/>
      <c r="O15" s="71">
        <v>0</v>
      </c>
      <c r="P15" s="60"/>
      <c r="Q15" s="20"/>
    </row>
    <row r="16" spans="1:17" ht="15" customHeight="1" x14ac:dyDescent="0.15">
      <c r="B16" s="44" t="s">
        <v>27</v>
      </c>
      <c r="C16" s="65">
        <v>0</v>
      </c>
      <c r="D16" s="61"/>
      <c r="E16" s="252"/>
      <c r="F16" s="65">
        <v>0</v>
      </c>
      <c r="G16" s="61"/>
      <c r="H16" s="257"/>
      <c r="I16" s="65">
        <v>0</v>
      </c>
      <c r="J16" s="61"/>
      <c r="K16" s="257"/>
      <c r="L16" s="65">
        <v>0</v>
      </c>
      <c r="M16" s="61"/>
      <c r="N16" s="257"/>
      <c r="O16" s="65">
        <v>0</v>
      </c>
      <c r="P16" s="61"/>
      <c r="Q16" s="20"/>
    </row>
    <row r="17" spans="1:17" s="7" customFormat="1" ht="15" customHeight="1" x14ac:dyDescent="0.15">
      <c r="B17" s="77" t="s">
        <v>33</v>
      </c>
      <c r="C17" s="88"/>
      <c r="D17" s="79"/>
      <c r="E17" s="253"/>
      <c r="F17" s="88"/>
      <c r="G17" s="79"/>
      <c r="H17" s="258"/>
      <c r="I17" s="88"/>
      <c r="J17" s="79"/>
      <c r="K17" s="258"/>
      <c r="L17" s="88"/>
      <c r="M17" s="79"/>
      <c r="N17" s="258"/>
      <c r="O17" s="88"/>
      <c r="P17" s="79"/>
      <c r="Q17" s="21"/>
    </row>
    <row r="18" spans="1:17" ht="15" customHeight="1" thickBot="1" x14ac:dyDescent="0.2">
      <c r="B18" s="44" t="s">
        <v>20</v>
      </c>
      <c r="C18" s="71">
        <v>0</v>
      </c>
      <c r="D18" s="60"/>
      <c r="E18" s="252"/>
      <c r="F18" s="71">
        <v>0</v>
      </c>
      <c r="G18" s="60"/>
      <c r="H18" s="257"/>
      <c r="I18" s="71">
        <v>0</v>
      </c>
      <c r="J18" s="60"/>
      <c r="K18" s="257"/>
      <c r="L18" s="71">
        <v>0</v>
      </c>
      <c r="M18" s="60"/>
      <c r="N18" s="257"/>
      <c r="O18" s="71">
        <v>0</v>
      </c>
      <c r="P18" s="60"/>
      <c r="Q18" s="20"/>
    </row>
    <row r="19" spans="1:17" ht="15" customHeight="1" thickBot="1" x14ac:dyDescent="0.2">
      <c r="B19" s="44" t="s">
        <v>21</v>
      </c>
      <c r="C19" s="55">
        <v>0</v>
      </c>
      <c r="D19" s="62"/>
      <c r="E19" s="252"/>
      <c r="F19" s="55">
        <v>0</v>
      </c>
      <c r="G19" s="62">
        <v>0</v>
      </c>
      <c r="H19" s="257"/>
      <c r="I19" s="55">
        <v>0</v>
      </c>
      <c r="J19" s="62">
        <v>0</v>
      </c>
      <c r="K19" s="257"/>
      <c r="L19" s="55">
        <v>0</v>
      </c>
      <c r="M19" s="62">
        <v>0</v>
      </c>
      <c r="N19" s="257"/>
      <c r="O19" s="55">
        <v>0</v>
      </c>
      <c r="P19" s="62">
        <v>0</v>
      </c>
      <c r="Q19" s="20"/>
    </row>
    <row r="20" spans="1:17" ht="15" customHeight="1" thickBot="1" x14ac:dyDescent="0.2">
      <c r="B20" s="44" t="s">
        <v>126</v>
      </c>
      <c r="C20" s="63"/>
      <c r="D20" s="350">
        <f>'C. Endowment Investments'!E31</f>
        <v>491696.13290174998</v>
      </c>
      <c r="E20" s="252"/>
      <c r="F20" s="63"/>
      <c r="G20" s="350">
        <f>'C. Endowment Investments'!G31</f>
        <v>478367.50016606995</v>
      </c>
      <c r="H20" s="257"/>
      <c r="I20" s="63"/>
      <c r="J20" s="350">
        <f>'C. Endowment Investments'!I31</f>
        <v>486942.18317918648</v>
      </c>
      <c r="K20" s="257"/>
      <c r="L20" s="63"/>
      <c r="M20" s="350">
        <f>'C. Endowment Investments'!K31</f>
        <v>490368.91601033654</v>
      </c>
      <c r="N20" s="257"/>
      <c r="O20" s="63"/>
      <c r="P20" s="350">
        <f>'C. Endowment Investments'!M22</f>
        <v>495504.02740057121</v>
      </c>
      <c r="Q20" s="20"/>
    </row>
    <row r="21" spans="1:17" ht="15" customHeight="1" thickBot="1" x14ac:dyDescent="0.2">
      <c r="B21" s="44" t="s">
        <v>54</v>
      </c>
      <c r="C21" s="63"/>
      <c r="D21" s="62"/>
      <c r="E21" s="252"/>
      <c r="F21" s="63"/>
      <c r="G21" s="62"/>
      <c r="H21" s="257"/>
      <c r="I21" s="63"/>
      <c r="J21" s="62"/>
      <c r="K21" s="257"/>
      <c r="L21" s="63"/>
      <c r="M21" s="62"/>
      <c r="N21" s="257"/>
      <c r="O21" s="63"/>
      <c r="P21" s="62"/>
      <c r="Q21" s="20"/>
    </row>
    <row r="22" spans="1:17" ht="15" customHeight="1" thickBot="1" x14ac:dyDescent="0.2">
      <c r="B22" s="44" t="s">
        <v>22</v>
      </c>
      <c r="C22" s="55">
        <v>1.4999999999999999E-2</v>
      </c>
      <c r="D22" s="62"/>
      <c r="E22" s="252"/>
      <c r="F22" s="55">
        <v>1.4999999999999999E-2</v>
      </c>
      <c r="G22" s="62"/>
      <c r="H22" s="257"/>
      <c r="I22" s="55">
        <v>1.4999999999999999E-2</v>
      </c>
      <c r="J22" s="62"/>
      <c r="K22" s="257"/>
      <c r="L22" s="55">
        <v>1.4999999999999999E-2</v>
      </c>
      <c r="M22" s="62"/>
      <c r="N22" s="257"/>
      <c r="O22" s="55">
        <v>1.4999999999999999E-2</v>
      </c>
      <c r="P22" s="62"/>
      <c r="Q22" s="20"/>
    </row>
    <row r="23" spans="1:17" ht="15" customHeight="1" thickBot="1" x14ac:dyDescent="0.2">
      <c r="B23" s="44" t="s">
        <v>23</v>
      </c>
      <c r="C23" s="55">
        <v>1.4999999999999999E-2</v>
      </c>
      <c r="D23" s="62"/>
      <c r="E23" s="252"/>
      <c r="F23" s="55">
        <v>1.4999999999999999E-2</v>
      </c>
      <c r="G23" s="62"/>
      <c r="H23" s="257"/>
      <c r="I23" s="55">
        <v>1.4999999999999999E-2</v>
      </c>
      <c r="J23" s="62"/>
      <c r="K23" s="257"/>
      <c r="L23" s="55">
        <v>1.4999999999999999E-2</v>
      </c>
      <c r="M23" s="62"/>
      <c r="N23" s="257"/>
      <c r="O23" s="55">
        <v>0.01</v>
      </c>
      <c r="P23" s="62">
        <v>0</v>
      </c>
      <c r="Q23" s="20"/>
    </row>
    <row r="24" spans="1:17" ht="15" customHeight="1" thickBot="1" x14ac:dyDescent="0.2">
      <c r="B24" s="52" t="s">
        <v>124</v>
      </c>
      <c r="C24" s="63"/>
      <c r="D24" s="61"/>
      <c r="E24" s="252"/>
      <c r="F24" s="63"/>
      <c r="G24" s="61"/>
      <c r="H24" s="257"/>
      <c r="I24" s="63"/>
      <c r="J24" s="61"/>
      <c r="K24" s="257"/>
      <c r="L24" s="63"/>
      <c r="M24" s="61"/>
      <c r="N24" s="257"/>
      <c r="O24" s="63"/>
      <c r="P24" s="61"/>
      <c r="Q24" s="20"/>
    </row>
    <row r="25" spans="1:17" ht="15" customHeight="1" thickBot="1" x14ac:dyDescent="0.2">
      <c r="B25" s="44" t="s">
        <v>28</v>
      </c>
      <c r="C25" s="63"/>
      <c r="D25" s="64"/>
      <c r="E25" s="252"/>
      <c r="F25" s="63"/>
      <c r="G25" s="64"/>
      <c r="H25" s="257"/>
      <c r="I25" s="63"/>
      <c r="J25" s="64"/>
      <c r="K25" s="257"/>
      <c r="L25" s="63"/>
      <c r="M25" s="64"/>
      <c r="N25" s="257"/>
      <c r="O25" s="63"/>
      <c r="P25" s="64"/>
      <c r="Q25" s="20"/>
    </row>
    <row r="26" spans="1:17" ht="15" customHeight="1" thickBot="1" x14ac:dyDescent="0.2">
      <c r="B26" s="353" t="s">
        <v>219</v>
      </c>
      <c r="C26" s="55">
        <v>1.4999999999999999E-2</v>
      </c>
      <c r="D26" s="62">
        <v>0</v>
      </c>
      <c r="E26" s="252"/>
      <c r="F26" s="55">
        <v>1.4999999999999999E-2</v>
      </c>
      <c r="G26" s="62"/>
      <c r="H26" s="257"/>
      <c r="I26" s="55">
        <v>1.4999999999999999E-2</v>
      </c>
      <c r="J26" s="62"/>
      <c r="K26" s="257"/>
      <c r="L26" s="55">
        <v>1.4999999999999999E-2</v>
      </c>
      <c r="M26" s="62"/>
      <c r="N26" s="257"/>
      <c r="O26" s="55">
        <v>0.01</v>
      </c>
      <c r="P26" s="62">
        <v>0</v>
      </c>
      <c r="Q26" s="20"/>
    </row>
    <row r="27" spans="1:17" ht="15" customHeight="1" x14ac:dyDescent="0.15">
      <c r="B27" s="354" t="s">
        <v>201</v>
      </c>
      <c r="C27" s="65">
        <v>1.4999999999999999E-2</v>
      </c>
      <c r="D27" s="61">
        <v>0</v>
      </c>
      <c r="E27" s="252"/>
      <c r="F27" s="65">
        <v>1.4999999999999999E-2</v>
      </c>
      <c r="G27" s="61"/>
      <c r="H27" s="257"/>
      <c r="I27" s="65">
        <v>1.4999999999999999E-2</v>
      </c>
      <c r="J27" s="61"/>
      <c r="K27" s="257"/>
      <c r="L27" s="65">
        <v>1.4999999999999999E-2</v>
      </c>
      <c r="M27" s="61"/>
      <c r="N27" s="257"/>
      <c r="O27" s="65">
        <v>1.4999999999999999E-2</v>
      </c>
      <c r="P27" s="61"/>
      <c r="Q27" s="20"/>
    </row>
    <row r="28" spans="1:17" s="7" customFormat="1" ht="15" customHeight="1" x14ac:dyDescent="0.15">
      <c r="B28" s="77" t="s">
        <v>34</v>
      </c>
      <c r="C28" s="88"/>
      <c r="D28" s="79"/>
      <c r="E28" s="253"/>
      <c r="F28" s="88"/>
      <c r="G28" s="79"/>
      <c r="H28" s="258"/>
      <c r="I28" s="88"/>
      <c r="J28" s="79"/>
      <c r="K28" s="258"/>
      <c r="L28" s="88"/>
      <c r="M28" s="79"/>
      <c r="N28" s="258"/>
      <c r="O28" s="88"/>
      <c r="P28" s="79"/>
      <c r="Q28" s="21"/>
    </row>
    <row r="29" spans="1:17" ht="15" customHeight="1" x14ac:dyDescent="0.15">
      <c r="B29" s="44" t="s">
        <v>24</v>
      </c>
      <c r="C29" s="89">
        <v>0</v>
      </c>
      <c r="D29" s="66"/>
      <c r="E29" s="252"/>
      <c r="F29" s="89">
        <v>0</v>
      </c>
      <c r="G29" s="66"/>
      <c r="H29" s="257"/>
      <c r="I29" s="89">
        <v>0</v>
      </c>
      <c r="J29" s="66"/>
      <c r="K29" s="257"/>
      <c r="L29" s="89">
        <v>0</v>
      </c>
      <c r="M29" s="66"/>
      <c r="N29" s="257"/>
      <c r="O29" s="89">
        <v>0</v>
      </c>
      <c r="P29" s="66"/>
      <c r="Q29" s="20"/>
    </row>
    <row r="30" spans="1:17" ht="6" customHeight="1" x14ac:dyDescent="0.15">
      <c r="B30" s="40"/>
      <c r="C30" s="67"/>
      <c r="D30" s="68"/>
      <c r="E30" s="252"/>
      <c r="F30" s="67"/>
      <c r="G30" s="68"/>
      <c r="H30" s="257"/>
      <c r="I30" s="67"/>
      <c r="J30" s="68"/>
      <c r="K30" s="257"/>
      <c r="L30" s="67"/>
      <c r="M30" s="68"/>
      <c r="N30" s="257"/>
      <c r="O30" s="67"/>
      <c r="P30" s="68"/>
      <c r="Q30" s="14"/>
    </row>
    <row r="31" spans="1:17" ht="15" customHeight="1" x14ac:dyDescent="0.2">
      <c r="A31" s="33" t="s">
        <v>37</v>
      </c>
      <c r="C31" s="69"/>
      <c r="D31" s="70"/>
      <c r="E31" s="252"/>
      <c r="F31" s="69"/>
      <c r="G31" s="70"/>
      <c r="H31" s="257"/>
      <c r="I31" s="69"/>
      <c r="J31" s="70"/>
      <c r="K31" s="257"/>
      <c r="L31" s="69"/>
      <c r="M31" s="70"/>
      <c r="N31" s="257"/>
      <c r="O31" s="69"/>
      <c r="P31" s="70"/>
      <c r="Q31" s="14"/>
    </row>
    <row r="32" spans="1:17" ht="6" customHeight="1" x14ac:dyDescent="0.15">
      <c r="A32" s="4"/>
      <c r="C32" s="69"/>
      <c r="D32" s="70"/>
      <c r="E32" s="252"/>
      <c r="F32" s="69"/>
      <c r="G32" s="70"/>
      <c r="H32" s="257"/>
      <c r="I32" s="69"/>
      <c r="J32" s="70"/>
      <c r="K32" s="257"/>
      <c r="L32" s="69"/>
      <c r="M32" s="70"/>
      <c r="N32" s="257"/>
      <c r="O32" s="69"/>
      <c r="P32" s="70"/>
      <c r="Q32" s="14"/>
    </row>
    <row r="33" spans="1:17" ht="6" customHeight="1" x14ac:dyDescent="0.15">
      <c r="A33" s="4"/>
      <c r="C33" s="69"/>
      <c r="D33" s="70"/>
      <c r="E33" s="252"/>
      <c r="F33" s="69"/>
      <c r="G33" s="70"/>
      <c r="H33" s="257"/>
      <c r="I33" s="69"/>
      <c r="J33" s="70"/>
      <c r="K33" s="257"/>
      <c r="L33" s="69"/>
      <c r="M33" s="70"/>
      <c r="N33" s="257"/>
      <c r="O33" s="69"/>
      <c r="P33" s="70"/>
      <c r="Q33" s="14"/>
    </row>
    <row r="34" spans="1:17" ht="15" customHeight="1" thickBot="1" x14ac:dyDescent="0.2">
      <c r="B34" s="44" t="s">
        <v>25</v>
      </c>
      <c r="C34" s="71">
        <v>0.03</v>
      </c>
      <c r="D34" s="60"/>
      <c r="E34" s="252"/>
      <c r="F34" s="71">
        <v>0.03</v>
      </c>
      <c r="G34" s="60"/>
      <c r="H34" s="257"/>
      <c r="I34" s="71">
        <v>0.03</v>
      </c>
      <c r="J34" s="60"/>
      <c r="K34" s="257"/>
      <c r="L34" s="71">
        <v>0.03</v>
      </c>
      <c r="M34" s="60"/>
      <c r="N34" s="257"/>
      <c r="O34" s="71">
        <v>0.03</v>
      </c>
      <c r="P34" s="60"/>
      <c r="Q34" s="20"/>
    </row>
    <row r="35" spans="1:17" ht="15" customHeight="1" thickBot="1" x14ac:dyDescent="0.2">
      <c r="B35" s="44" t="s">
        <v>26</v>
      </c>
      <c r="C35" s="55">
        <v>2.5000000000000001E-2</v>
      </c>
      <c r="D35" s="62"/>
      <c r="E35" s="252"/>
      <c r="F35" s="55">
        <v>2.5000000000000001E-2</v>
      </c>
      <c r="G35" s="62"/>
      <c r="H35" s="257"/>
      <c r="I35" s="55">
        <v>2.5000000000000001E-2</v>
      </c>
      <c r="J35" s="62"/>
      <c r="K35" s="257"/>
      <c r="L35" s="55">
        <v>2.5000000000000001E-2</v>
      </c>
      <c r="M35" s="62"/>
      <c r="N35" s="257"/>
      <c r="O35" s="55">
        <v>2.5000000000000001E-2</v>
      </c>
      <c r="P35" s="62"/>
      <c r="Q35" s="20"/>
    </row>
    <row r="36" spans="1:17" ht="6" customHeight="1" x14ac:dyDescent="0.15">
      <c r="C36" s="72"/>
      <c r="D36" s="73"/>
      <c r="E36" s="254"/>
      <c r="F36" s="74"/>
      <c r="G36" s="73"/>
      <c r="H36" s="259"/>
      <c r="I36" s="74"/>
      <c r="J36" s="73"/>
      <c r="K36" s="259"/>
      <c r="L36" s="74"/>
      <c r="M36" s="73"/>
      <c r="N36" s="259"/>
      <c r="O36" s="74"/>
      <c r="P36" s="73"/>
    </row>
    <row r="37" spans="1:17" s="7" customFormat="1" ht="15" customHeight="1" thickBot="1" x14ac:dyDescent="0.25">
      <c r="A37" s="33" t="s">
        <v>68</v>
      </c>
      <c r="C37" s="59"/>
      <c r="D37" s="53"/>
      <c r="E37" s="255"/>
      <c r="F37" s="75"/>
      <c r="G37" s="53"/>
      <c r="H37" s="260"/>
      <c r="I37" s="75"/>
      <c r="J37" s="53"/>
      <c r="K37" s="260"/>
      <c r="L37" s="75"/>
      <c r="M37" s="53"/>
      <c r="N37" s="260"/>
      <c r="O37" s="75"/>
      <c r="P37" s="53"/>
    </row>
    <row r="38" spans="1:17" ht="15" customHeight="1" thickBot="1" x14ac:dyDescent="0.2">
      <c r="B38" s="44" t="s">
        <v>63</v>
      </c>
      <c r="C38" s="72"/>
      <c r="D38" s="62">
        <v>0</v>
      </c>
      <c r="E38" s="256"/>
      <c r="F38" s="76"/>
      <c r="G38" s="62">
        <v>0</v>
      </c>
      <c r="H38" s="261"/>
      <c r="I38" s="76"/>
      <c r="J38" s="62">
        <v>0</v>
      </c>
      <c r="K38" s="261"/>
      <c r="L38" s="76"/>
      <c r="M38" s="62">
        <v>0</v>
      </c>
      <c r="N38" s="261"/>
      <c r="O38" s="76"/>
      <c r="P38" s="62">
        <v>0</v>
      </c>
    </row>
    <row r="39" spans="1:17" ht="15" customHeight="1" thickBot="1" x14ac:dyDescent="0.2">
      <c r="B39" s="44" t="s">
        <v>46</v>
      </c>
      <c r="C39" s="72"/>
      <c r="D39" s="62">
        <v>100000</v>
      </c>
      <c r="E39" s="256"/>
      <c r="F39" s="76"/>
      <c r="G39" s="62">
        <v>0</v>
      </c>
      <c r="H39" s="261"/>
      <c r="I39" s="76"/>
      <c r="J39" s="62">
        <v>0</v>
      </c>
      <c r="K39" s="261"/>
      <c r="L39" s="76"/>
      <c r="M39" s="62">
        <v>0</v>
      </c>
      <c r="N39" s="261"/>
      <c r="O39" s="76"/>
      <c r="P39" s="62">
        <v>0</v>
      </c>
    </row>
  </sheetData>
  <mergeCells count="6">
    <mergeCell ref="A3:P3"/>
    <mergeCell ref="C5:D5"/>
    <mergeCell ref="F5:G5"/>
    <mergeCell ref="I5:J5"/>
    <mergeCell ref="L5:M5"/>
    <mergeCell ref="O5:P5"/>
  </mergeCells>
  <phoneticPr fontId="2" type="noConversion"/>
  <printOptions horizontalCentered="1" verticalCentered="1" gridLines="1"/>
  <pageMargins left="0.45" right="0.45" top="1" bottom="1" header="0.5" footer="0.5"/>
  <pageSetup scale="83" orientation="landscape"/>
  <headerFooter alignWithMargins="0">
    <oddFooter>&amp;C&amp;8&amp;D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2:P54"/>
  <sheetViews>
    <sheetView zoomScale="87" zoomScaleNormal="87" workbookViewId="0">
      <selection activeCell="J25" sqref="J25"/>
    </sheetView>
  </sheetViews>
  <sheetFormatPr baseColWidth="10" defaultColWidth="9.1640625" defaultRowHeight="18" x14ac:dyDescent="0.2"/>
  <cols>
    <col min="1" max="1" width="2" style="213" customWidth="1"/>
    <col min="2" max="2" width="34" style="213" customWidth="1"/>
    <col min="3" max="3" width="16.5" style="213" customWidth="1"/>
    <col min="4" max="4" width="11.5" style="213" customWidth="1"/>
    <col min="5" max="5" width="17.1640625" style="213" customWidth="1"/>
    <col min="6" max="6" width="8.83203125" style="213" customWidth="1"/>
    <col min="7" max="7" width="18.83203125" style="213" customWidth="1"/>
    <col min="8" max="8" width="7.6640625" style="213" customWidth="1"/>
    <col min="9" max="9" width="15.1640625" style="213" customWidth="1"/>
    <col min="10" max="10" width="7.6640625" style="213" customWidth="1"/>
    <col min="11" max="11" width="19.1640625" style="213" customWidth="1"/>
    <col min="12" max="12" width="7.6640625" style="213" customWidth="1"/>
    <col min="13" max="13" width="4.6640625" style="213" customWidth="1"/>
    <col min="14" max="14" width="9.1640625" style="213"/>
    <col min="15" max="15" width="5" style="213" customWidth="1"/>
    <col min="16" max="16" width="11.5" style="213" customWidth="1"/>
    <col min="17" max="16384" width="9.1640625" style="213"/>
  </cols>
  <sheetData>
    <row r="2" spans="1:16" ht="16" customHeight="1" x14ac:dyDescent="0.2">
      <c r="A2" s="106" t="s">
        <v>45</v>
      </c>
      <c r="F2" s="41" t="str">
        <f>Setup!B2</f>
        <v xml:space="preserve">Five Year Operating and Membership Plan </v>
      </c>
    </row>
    <row r="3" spans="1:16" ht="20" customHeight="1" x14ac:dyDescent="0.3">
      <c r="A3" s="393" t="str">
        <f>Setup!B6&amp;" Council Five Year Operating Plan"</f>
        <v>Sample Council- #0325 Council Five Year Operating Plan</v>
      </c>
      <c r="B3" s="393"/>
      <c r="C3" s="393"/>
      <c r="D3" s="393"/>
      <c r="E3" s="393"/>
      <c r="F3" s="393"/>
      <c r="G3" s="393"/>
      <c r="H3" s="393"/>
      <c r="I3" s="393"/>
      <c r="J3" s="393"/>
      <c r="K3" s="393"/>
      <c r="L3" s="393"/>
    </row>
    <row r="4" spans="1:16" ht="8" customHeight="1" x14ac:dyDescent="0.2"/>
    <row r="5" spans="1:16" ht="28" customHeight="1" x14ac:dyDescent="0.2">
      <c r="A5" s="214" t="s">
        <v>38</v>
      </c>
      <c r="C5" s="262">
        <f>Setup!$B4+1</f>
        <v>2023</v>
      </c>
      <c r="D5" s="215" t="s">
        <v>31</v>
      </c>
      <c r="E5" s="262">
        <f>Setup!$B4+2</f>
        <v>2024</v>
      </c>
      <c r="F5" s="215" t="s">
        <v>31</v>
      </c>
      <c r="G5" s="262">
        <f>Setup!$B4+3</f>
        <v>2025</v>
      </c>
      <c r="H5" s="215" t="s">
        <v>31</v>
      </c>
      <c r="I5" s="262">
        <f>Setup!$B4+4</f>
        <v>2026</v>
      </c>
      <c r="J5" s="215" t="s">
        <v>31</v>
      </c>
      <c r="K5" s="262">
        <f>Setup!$B4+5</f>
        <v>2027</v>
      </c>
      <c r="L5" s="215" t="s">
        <v>31</v>
      </c>
      <c r="N5" s="216"/>
      <c r="P5" s="216"/>
    </row>
    <row r="6" spans="1:16" ht="7" customHeight="1" x14ac:dyDescent="0.2">
      <c r="C6" s="217"/>
      <c r="D6" s="215"/>
      <c r="E6" s="217"/>
      <c r="F6" s="215"/>
      <c r="G6" s="217"/>
      <c r="H6" s="215"/>
      <c r="I6" s="217"/>
      <c r="J6" s="215"/>
      <c r="K6" s="217"/>
      <c r="L6" s="215"/>
    </row>
    <row r="7" spans="1:16" ht="6" customHeight="1" x14ac:dyDescent="0.2">
      <c r="A7" s="214"/>
      <c r="C7" s="217"/>
      <c r="D7" s="215"/>
      <c r="E7" s="217"/>
      <c r="F7" s="215"/>
      <c r="G7" s="217"/>
      <c r="H7" s="215"/>
      <c r="I7" s="217"/>
      <c r="J7" s="215"/>
      <c r="K7" s="217"/>
      <c r="L7" s="215"/>
    </row>
    <row r="8" spans="1:16" ht="15" customHeight="1" thickBot="1" x14ac:dyDescent="0.25">
      <c r="B8" s="213" t="s">
        <v>15</v>
      </c>
      <c r="C8" s="218">
        <f>'A. History Input &amp; Output'!O8*(1+'D. Growth Plan'!C8)+'D. Growth Plan'!D8</f>
        <v>103000</v>
      </c>
      <c r="D8" s="233">
        <f t="shared" ref="D8:D29" si="0">C8/C$30</f>
        <v>7.4803288707668683E-2</v>
      </c>
      <c r="E8" s="218">
        <f>'E. Output'!C8*(1+'D. Growth Plan'!F8)+'D. Growth Plan'!G8</f>
        <v>106090</v>
      </c>
      <c r="F8" s="233">
        <f t="shared" ref="F8:F29" si="1">E8/E$30</f>
        <v>7.7354347994998102E-2</v>
      </c>
      <c r="G8" s="218">
        <f>'E. Output'!E8*(1+'D. Growth Plan'!I8)+'D. Growth Plan'!J8</f>
        <v>109272.7</v>
      </c>
      <c r="H8" s="233">
        <f t="shared" ref="H8:H29" si="2">G8/G$30</f>
        <v>7.8720738738806834E-2</v>
      </c>
      <c r="I8" s="218">
        <f>'E. Output'!G8*(1+'D. Growth Plan'!L8)+'D. Growth Plan'!M8</f>
        <v>112550.88099999999</v>
      </c>
      <c r="J8" s="233">
        <f t="shared" ref="J8:J29" si="3">I8/I$30</f>
        <v>8.0406527258437083E-2</v>
      </c>
      <c r="K8" s="218">
        <f>'E. Output'!I8*(1+'D. Growth Plan'!O8)+'D. Growth Plan'!P8</f>
        <v>115927.40742999999</v>
      </c>
      <c r="L8" s="237">
        <f t="shared" ref="L8:L29" si="4">K8/K$30</f>
        <v>8.2035784116920682E-2</v>
      </c>
      <c r="N8" s="219"/>
    </row>
    <row r="9" spans="1:16" ht="15" customHeight="1" thickBot="1" x14ac:dyDescent="0.25">
      <c r="B9" s="213" t="s">
        <v>13</v>
      </c>
      <c r="C9" s="218">
        <f>'A. History Input &amp; Output'!O9*(1+'D. Growth Plan'!C9)+'D. Growth Plan'!D9</f>
        <v>0</v>
      </c>
      <c r="D9" s="233">
        <f t="shared" si="0"/>
        <v>0</v>
      </c>
      <c r="E9" s="218">
        <f>'E. Output'!C9*(1+'D. Growth Plan'!F9)+'D. Growth Plan'!G9</f>
        <v>0</v>
      </c>
      <c r="F9" s="233">
        <f t="shared" si="1"/>
        <v>0</v>
      </c>
      <c r="G9" s="218">
        <f>'E. Output'!E9*(1+'D. Growth Plan'!I9)+'D. Growth Plan'!J9</f>
        <v>0</v>
      </c>
      <c r="H9" s="233">
        <f t="shared" si="2"/>
        <v>0</v>
      </c>
      <c r="I9" s="218">
        <f>'E. Output'!G9*(1+'D. Growth Plan'!L9)+'D. Growth Plan'!M9</f>
        <v>0</v>
      </c>
      <c r="J9" s="233">
        <f t="shared" si="3"/>
        <v>0</v>
      </c>
      <c r="K9" s="218">
        <f>'E. Output'!I9*(1+'D. Growth Plan'!O9)+'D. Growth Plan'!P9</f>
        <v>0</v>
      </c>
      <c r="L9" s="237">
        <f t="shared" si="4"/>
        <v>0</v>
      </c>
      <c r="N9" s="219"/>
    </row>
    <row r="10" spans="1:16" ht="15" customHeight="1" thickBot="1" x14ac:dyDescent="0.25">
      <c r="B10" s="213" t="s">
        <v>16</v>
      </c>
      <c r="C10" s="218">
        <f>'A. History Input &amp; Output'!O10*(1+'D. Growth Plan'!C10)+'D. Growth Plan'!D10</f>
        <v>47277</v>
      </c>
      <c r="D10" s="233">
        <f t="shared" si="0"/>
        <v>3.4334709516819925E-2</v>
      </c>
      <c r="E10" s="218">
        <f>'E. Output'!C10*(1+'D. Growth Plan'!F10)+'D. Growth Plan'!G10</f>
        <v>48695.31</v>
      </c>
      <c r="F10" s="233">
        <f t="shared" si="1"/>
        <v>3.5505645729704126E-2</v>
      </c>
      <c r="G10" s="218">
        <f>'E. Output'!E10*(1+'D. Growth Plan'!I10)+'D. Growth Plan'!J10</f>
        <v>50156.169300000001</v>
      </c>
      <c r="H10" s="233">
        <f t="shared" si="2"/>
        <v>3.6132819081112343E-2</v>
      </c>
      <c r="I10" s="218">
        <f>'E. Output'!G10*(1+'D. Growth Plan'!L10)+'D. Growth Plan'!M10</f>
        <v>51660.854379000004</v>
      </c>
      <c r="J10" s="233">
        <f t="shared" si="3"/>
        <v>3.6906596011622626E-2</v>
      </c>
      <c r="K10" s="245">
        <f>'E. Output'!I10*(1+'D. Growth Plan'!O10)+'D. Growth Plan'!P10</f>
        <v>53210.680010370008</v>
      </c>
      <c r="L10" s="237">
        <f t="shared" si="4"/>
        <v>3.7654424909666598E-2</v>
      </c>
      <c r="N10" s="219"/>
    </row>
    <row r="11" spans="1:16" ht="15" customHeight="1" thickBot="1" x14ac:dyDescent="0.25">
      <c r="B11" s="213" t="s">
        <v>17</v>
      </c>
      <c r="C11" s="218">
        <f>'A. History Input &amp; Output'!O11*(1+'D. Growth Plan'!C11)+'D. Growth Plan'!D11</f>
        <v>0</v>
      </c>
      <c r="D11" s="233">
        <f t="shared" si="0"/>
        <v>0</v>
      </c>
      <c r="E11" s="218">
        <f>'E. Output'!C11*(1+'D. Growth Plan'!F11)+'D. Growth Plan'!G11</f>
        <v>0</v>
      </c>
      <c r="F11" s="233">
        <f t="shared" si="1"/>
        <v>0</v>
      </c>
      <c r="G11" s="218">
        <f>'E. Output'!E11*(1+'D. Growth Plan'!I11)+'D. Growth Plan'!J11</f>
        <v>0</v>
      </c>
      <c r="H11" s="233">
        <f t="shared" si="2"/>
        <v>0</v>
      </c>
      <c r="I11" s="218">
        <f>'E. Output'!G11*(1+'D. Growth Plan'!L11)+'D. Growth Plan'!M11</f>
        <v>0</v>
      </c>
      <c r="J11" s="233">
        <f t="shared" si="3"/>
        <v>0</v>
      </c>
      <c r="K11" s="218">
        <f>'E. Output'!I11*(1+'D. Growth Plan'!O11)+'D. Growth Plan'!P11</f>
        <v>0</v>
      </c>
      <c r="L11" s="237">
        <f t="shared" si="4"/>
        <v>0</v>
      </c>
      <c r="N11" s="219"/>
    </row>
    <row r="12" spans="1:16" ht="15" customHeight="1" thickBot="1" x14ac:dyDescent="0.25">
      <c r="B12" s="213" t="s">
        <v>14</v>
      </c>
      <c r="C12" s="218">
        <f>'A. History Input &amp; Output'!O12*(1+'D. Growth Plan'!C12)+'D. Growth Plan'!D12</f>
        <v>183000</v>
      </c>
      <c r="D12" s="233">
        <f t="shared" si="0"/>
        <v>0.13290293042236279</v>
      </c>
      <c r="E12" s="218">
        <f>'E. Output'!C12*(1+'D. Growth Plan'!F12)+'D. Growth Plan'!G12</f>
        <v>183000</v>
      </c>
      <c r="F12" s="233">
        <f t="shared" si="1"/>
        <v>0.13343242231204311</v>
      </c>
      <c r="G12" s="218">
        <f>'E. Output'!E12*(1+'D. Growth Plan'!I12)+'D. Growth Plan'!J12</f>
        <v>183000</v>
      </c>
      <c r="H12" s="233">
        <f t="shared" si="2"/>
        <v>0.13183434827913698</v>
      </c>
      <c r="I12" s="218">
        <f>'E. Output'!G12*(1+'D. Growth Plan'!L12)+'D. Growth Plan'!M12</f>
        <v>183000</v>
      </c>
      <c r="J12" s="233">
        <f t="shared" si="3"/>
        <v>0.13073548920771208</v>
      </c>
      <c r="K12" s="218">
        <f>'E. Output'!I12*(1+'D. Growth Plan'!O12)+'D. Growth Plan'!P12</f>
        <v>183000</v>
      </c>
      <c r="L12" s="237">
        <f t="shared" si="4"/>
        <v>0.12949956206397054</v>
      </c>
      <c r="N12" s="219"/>
    </row>
    <row r="13" spans="1:16" ht="15" customHeight="1" x14ac:dyDescent="0.2">
      <c r="B13" s="213" t="s">
        <v>18</v>
      </c>
      <c r="C13" s="220">
        <f>'A. History Input &amp; Output'!O13*(1+'D. Growth Plan'!C13)+'D. Growth Plan'!D13</f>
        <v>76000</v>
      </c>
      <c r="D13" s="233">
        <f t="shared" si="0"/>
        <v>5.5194659628959412E-2</v>
      </c>
      <c r="E13" s="220">
        <f>'E. Output'!C13*(1+'D. Growth Plan'!F13)+'D. Growth Plan'!G13</f>
        <v>76000</v>
      </c>
      <c r="F13" s="233">
        <f t="shared" si="1"/>
        <v>5.5414557900083476E-2</v>
      </c>
      <c r="G13" s="220">
        <f>'E. Output'!E13*(1+'D. Growth Plan'!I13)+'D. Growth Plan'!J13</f>
        <v>76000</v>
      </c>
      <c r="H13" s="233">
        <f t="shared" si="2"/>
        <v>5.4750876880953064E-2</v>
      </c>
      <c r="I13" s="220">
        <f>'E. Output'!G13*(1+'D. Growth Plan'!L13)+'D. Growth Plan'!M13</f>
        <v>76000</v>
      </c>
      <c r="J13" s="233">
        <f t="shared" si="3"/>
        <v>5.4294520108120865E-2</v>
      </c>
      <c r="K13" s="220">
        <f>'E. Output'!I13*(1+'D. Growth Plan'!O13)+'D. Growth Plan'!P13</f>
        <v>76000</v>
      </c>
      <c r="L13" s="237">
        <f t="shared" si="4"/>
        <v>5.378123888995498E-2</v>
      </c>
      <c r="N13" s="219"/>
    </row>
    <row r="14" spans="1:16" ht="15" customHeight="1" x14ac:dyDescent="0.2">
      <c r="B14" s="221" t="s">
        <v>32</v>
      </c>
      <c r="C14" s="222">
        <f>SUM(C8:C13)</f>
        <v>409277</v>
      </c>
      <c r="D14" s="234">
        <f t="shared" si="0"/>
        <v>0.29723558827581081</v>
      </c>
      <c r="E14" s="222">
        <f>SUM(E8:E13)</f>
        <v>413785.31</v>
      </c>
      <c r="F14" s="234">
        <f t="shared" si="1"/>
        <v>0.30170697393682883</v>
      </c>
      <c r="G14" s="222">
        <f>SUM(G8:G13)</f>
        <v>418428.86930000002</v>
      </c>
      <c r="H14" s="234">
        <f t="shared" si="2"/>
        <v>0.30143878298000926</v>
      </c>
      <c r="I14" s="222">
        <f>SUM(I8:I13)</f>
        <v>423211.73537899996</v>
      </c>
      <c r="J14" s="234">
        <f t="shared" si="3"/>
        <v>0.30234313258589263</v>
      </c>
      <c r="K14" s="222">
        <f>SUM(K8:K13)</f>
        <v>428138.08744037</v>
      </c>
      <c r="L14" s="238">
        <f t="shared" si="4"/>
        <v>0.3029710099805128</v>
      </c>
      <c r="N14" s="219"/>
    </row>
    <row r="15" spans="1:16" ht="15" customHeight="1" thickBot="1" x14ac:dyDescent="0.25">
      <c r="B15" s="213" t="s">
        <v>19</v>
      </c>
      <c r="C15" s="218">
        <f>'A. History Input &amp; Output'!O15*(1+'D. Growth Plan'!C15)+'D. Growth Plan'!D15</f>
        <v>12000</v>
      </c>
      <c r="D15" s="233">
        <f t="shared" si="0"/>
        <v>8.7149462572041186E-3</v>
      </c>
      <c r="E15" s="218">
        <f>'E. Output'!C15*(1+'D. Growth Plan'!F15)+'D. Growth Plan'!G15</f>
        <v>12000</v>
      </c>
      <c r="F15" s="233">
        <f t="shared" si="1"/>
        <v>8.7496670368552854E-3</v>
      </c>
      <c r="G15" s="218">
        <f>'E. Output'!E15*(1+'D. Growth Plan'!I15)+'D. Growth Plan'!J15</f>
        <v>12000</v>
      </c>
      <c r="H15" s="233">
        <f t="shared" si="2"/>
        <v>8.6448752969925883E-3</v>
      </c>
      <c r="I15" s="218">
        <f>'E. Output'!G15*(1+'D. Growth Plan'!L15)+'D. Growth Plan'!M15</f>
        <v>12000</v>
      </c>
      <c r="J15" s="233">
        <f t="shared" si="3"/>
        <v>8.5728189644401365E-3</v>
      </c>
      <c r="K15" s="218">
        <f>'E. Output'!I15*(1+'D. Growth Plan'!O15)+'D. Growth Plan'!P15</f>
        <v>12000</v>
      </c>
      <c r="L15" s="237">
        <f t="shared" si="4"/>
        <v>8.4917745615718382E-3</v>
      </c>
      <c r="N15" s="219"/>
    </row>
    <row r="16" spans="1:16" ht="15" customHeight="1" x14ac:dyDescent="0.2">
      <c r="B16" s="213" t="s">
        <v>27</v>
      </c>
      <c r="C16" s="220">
        <f>'A. History Input &amp; Output'!O16*(1+'D. Growth Plan'!C16)+'D. Growth Plan'!D16</f>
        <v>20400</v>
      </c>
      <c r="D16" s="233">
        <f t="shared" si="0"/>
        <v>1.4815408637247E-2</v>
      </c>
      <c r="E16" s="220">
        <f>'E. Output'!C16*(1+'D. Growth Plan'!F16)+'D. Growth Plan'!G16</f>
        <v>20400</v>
      </c>
      <c r="F16" s="233">
        <f t="shared" si="1"/>
        <v>1.4874433962653985E-2</v>
      </c>
      <c r="G16" s="220">
        <f>'E. Output'!E16*(1+'D. Growth Plan'!I16)+'D. Growth Plan'!J16</f>
        <v>20400</v>
      </c>
      <c r="H16" s="233">
        <f t="shared" si="2"/>
        <v>1.4696288004887401E-2</v>
      </c>
      <c r="I16" s="220">
        <f>'E. Output'!G16*(1+'D. Growth Plan'!L16)+'D. Growth Plan'!M16</f>
        <v>20400</v>
      </c>
      <c r="J16" s="233">
        <f t="shared" si="3"/>
        <v>1.4573792239548232E-2</v>
      </c>
      <c r="K16" s="220">
        <f>'E. Output'!I16*(1+'D. Growth Plan'!O16)+'D. Growth Plan'!P16</f>
        <v>20400</v>
      </c>
      <c r="L16" s="237">
        <f t="shared" si="4"/>
        <v>1.4436016754672126E-2</v>
      </c>
      <c r="N16" s="219"/>
    </row>
    <row r="17" spans="1:14" s="223" customFormat="1" ht="15" customHeight="1" x14ac:dyDescent="0.2">
      <c r="B17" s="221" t="s">
        <v>33</v>
      </c>
      <c r="C17" s="222">
        <f>SUM(C15:C16)</f>
        <v>32400</v>
      </c>
      <c r="D17" s="234">
        <f t="shared" si="0"/>
        <v>2.3530354894451117E-2</v>
      </c>
      <c r="E17" s="222">
        <f>SUM(E15:E16)</f>
        <v>32400</v>
      </c>
      <c r="F17" s="234">
        <f t="shared" si="1"/>
        <v>2.3624100999509269E-2</v>
      </c>
      <c r="G17" s="222">
        <f>SUM(G15:G16)</f>
        <v>32400</v>
      </c>
      <c r="H17" s="234">
        <f t="shared" si="2"/>
        <v>2.3341163301879991E-2</v>
      </c>
      <c r="I17" s="222">
        <f>SUM(I15:I16)</f>
        <v>32400</v>
      </c>
      <c r="J17" s="234">
        <f t="shared" si="3"/>
        <v>2.3146611203988369E-2</v>
      </c>
      <c r="K17" s="222">
        <f>SUM(K15:K16)</f>
        <v>32400</v>
      </c>
      <c r="L17" s="238">
        <f t="shared" si="4"/>
        <v>2.2927791316243964E-2</v>
      </c>
      <c r="N17" s="219"/>
    </row>
    <row r="18" spans="1:14" ht="15" customHeight="1" thickBot="1" x14ac:dyDescent="0.25">
      <c r="B18" s="213" t="s">
        <v>20</v>
      </c>
      <c r="C18" s="218">
        <f>'A. History Input &amp; Output'!O18*(1+'D. Growth Plan'!C18)+'D. Growth Plan'!D18</f>
        <v>4320</v>
      </c>
      <c r="D18" s="233">
        <f t="shared" si="0"/>
        <v>3.1373806525934822E-3</v>
      </c>
      <c r="E18" s="218">
        <f>'E. Output'!C18*(1+'D. Growth Plan'!F18)+'D. Growth Plan'!G18</f>
        <v>4320</v>
      </c>
      <c r="F18" s="233">
        <f t="shared" si="1"/>
        <v>3.1498801332679027E-3</v>
      </c>
      <c r="G18" s="218">
        <f>'E. Output'!E18*(1+'D. Growth Plan'!I18)+'D. Growth Plan'!J18</f>
        <v>4320</v>
      </c>
      <c r="H18" s="233">
        <f t="shared" si="2"/>
        <v>3.1121551069173319E-3</v>
      </c>
      <c r="I18" s="218">
        <f>'E. Output'!G18*(1+'D. Growth Plan'!L18)+'D. Growth Plan'!M18</f>
        <v>4320</v>
      </c>
      <c r="J18" s="233">
        <f t="shared" si="3"/>
        <v>3.0862148271984489E-3</v>
      </c>
      <c r="K18" s="218">
        <f>'E. Output'!I18*(1+'D. Growth Plan'!O18)+'D. Growth Plan'!P18</f>
        <v>4320</v>
      </c>
      <c r="L18" s="237">
        <f t="shared" si="4"/>
        <v>3.057038842165862E-3</v>
      </c>
      <c r="N18" s="219"/>
    </row>
    <row r="19" spans="1:14" ht="15" customHeight="1" thickBot="1" x14ac:dyDescent="0.25">
      <c r="B19" s="213" t="s">
        <v>21</v>
      </c>
      <c r="C19" s="218">
        <f>'A. History Input &amp; Output'!O19*(1+'D. Growth Plan'!C19)+'D. Growth Plan'!D19</f>
        <v>215500</v>
      </c>
      <c r="D19" s="233">
        <f t="shared" si="0"/>
        <v>0.15650590986895729</v>
      </c>
      <c r="E19" s="218">
        <f>'E. Output'!C19*(1+'D. Growth Plan'!F19)+'D. Growth Plan'!G19</f>
        <v>215500</v>
      </c>
      <c r="F19" s="233">
        <f t="shared" si="1"/>
        <v>0.15712943720352615</v>
      </c>
      <c r="G19" s="218">
        <f>'E. Output'!E19*(1+'D. Growth Plan'!I19)+'D. Growth Plan'!J19</f>
        <v>215500</v>
      </c>
      <c r="H19" s="233">
        <f t="shared" si="2"/>
        <v>0.1552475522084919</v>
      </c>
      <c r="I19" s="218">
        <f>'E. Output'!G19*(1+'D. Growth Plan'!L19)+'D. Growth Plan'!M19</f>
        <v>215500</v>
      </c>
      <c r="J19" s="233">
        <f t="shared" si="3"/>
        <v>0.15395354056973745</v>
      </c>
      <c r="K19" s="218">
        <f>'E. Output'!I19*(1+'D. Growth Plan'!O19)+'D. Growth Plan'!P19</f>
        <v>215500</v>
      </c>
      <c r="L19" s="237">
        <f t="shared" si="4"/>
        <v>0.15249811816822761</v>
      </c>
      <c r="N19" s="219"/>
    </row>
    <row r="20" spans="1:14" ht="15" customHeight="1" thickBot="1" x14ac:dyDescent="0.25">
      <c r="B20" s="213" t="s">
        <v>47</v>
      </c>
      <c r="C20" s="218">
        <f>'D. Growth Plan'!D20</f>
        <v>491696.13290174998</v>
      </c>
      <c r="D20" s="233">
        <f t="shared" si="0"/>
        <v>0.35709211442615368</v>
      </c>
      <c r="E20" s="218">
        <f>'D. Growth Plan'!G20</f>
        <v>478367.50016606995</v>
      </c>
      <c r="F20" s="233">
        <f t="shared" si="1"/>
        <v>0.34879636230882727</v>
      </c>
      <c r="G20" s="218">
        <f>'D. Growth Plan'!J20</f>
        <v>486942.18317918648</v>
      </c>
      <c r="H20" s="233">
        <f t="shared" si="2"/>
        <v>0.35079620420244911</v>
      </c>
      <c r="I20" s="218">
        <f>'D. Growth Plan'!M20</f>
        <v>490368.91601033654</v>
      </c>
      <c r="J20" s="233">
        <f t="shared" si="3"/>
        <v>0.35032032856211381</v>
      </c>
      <c r="K20" s="218">
        <f>'D. Growth Plan'!P20</f>
        <v>495504.02740057121</v>
      </c>
      <c r="L20" s="237">
        <f t="shared" si="4"/>
        <v>0.35064237458638048</v>
      </c>
      <c r="N20" s="219"/>
    </row>
    <row r="21" spans="1:14" ht="15" customHeight="1" thickBot="1" x14ac:dyDescent="0.25">
      <c r="B21" s="213" t="s">
        <v>55</v>
      </c>
      <c r="C21" s="218">
        <f>'D. Growth Plan'!D21</f>
        <v>0</v>
      </c>
      <c r="D21" s="233">
        <f t="shared" si="0"/>
        <v>0</v>
      </c>
      <c r="E21" s="218">
        <f>'D. Growth Plan'!G21</f>
        <v>0</v>
      </c>
      <c r="F21" s="233">
        <f t="shared" si="1"/>
        <v>0</v>
      </c>
      <c r="G21" s="218">
        <f>'D. Growth Plan'!J21</f>
        <v>0</v>
      </c>
      <c r="H21" s="233">
        <f t="shared" si="2"/>
        <v>0</v>
      </c>
      <c r="I21" s="218">
        <f>'D. Growth Plan'!M21</f>
        <v>0</v>
      </c>
      <c r="J21" s="233">
        <f t="shared" si="3"/>
        <v>0</v>
      </c>
      <c r="K21" s="218">
        <f>'D. Growth Plan'!P21</f>
        <v>0</v>
      </c>
      <c r="L21" s="237">
        <f t="shared" si="4"/>
        <v>0</v>
      </c>
      <c r="N21" s="219"/>
    </row>
    <row r="22" spans="1:14" ht="15" customHeight="1" thickBot="1" x14ac:dyDescent="0.25">
      <c r="B22" s="213" t="s">
        <v>22</v>
      </c>
      <c r="C22" s="218">
        <f>'A. History Input &amp; Output'!O22*(1+'D. Growth Plan'!C22)+'D. Growth Plan'!D22</f>
        <v>26933.024999999998</v>
      </c>
      <c r="D22" s="233">
        <f t="shared" si="0"/>
        <v>1.9559988784911244E-2</v>
      </c>
      <c r="E22" s="218">
        <f>'E. Output'!C22*(1+'D. Growth Plan'!F22)+'D. Growth Plan'!G22</f>
        <v>27337.020374999996</v>
      </c>
      <c r="F22" s="233">
        <f t="shared" si="1"/>
        <v>1.9932485505081563E-2</v>
      </c>
      <c r="G22" s="218">
        <f>'E. Output'!E22*(1+'D. Growth Plan'!I22)+'D. Growth Plan'!J22</f>
        <v>27747.075680624992</v>
      </c>
      <c r="H22" s="233">
        <f t="shared" si="2"/>
        <v>1.9989167426268235E-2</v>
      </c>
      <c r="I22" s="218">
        <f>'E. Output'!G22*(1+'D. Growth Plan'!L22)+'D. Growth Plan'!M22</f>
        <v>28163.281815834365</v>
      </c>
      <c r="J22" s="233">
        <f t="shared" si="3"/>
        <v>2.0119893037638073E-2</v>
      </c>
      <c r="K22" s="218">
        <f>'E. Output'!I22*(1+'D. Growth Plan'!O22)+'D. Growth Plan'!P22</f>
        <v>28585.731043071879</v>
      </c>
      <c r="L22" s="237">
        <f t="shared" si="4"/>
        <v>2.022863197462435E-2</v>
      </c>
      <c r="N22" s="219"/>
    </row>
    <row r="23" spans="1:14" ht="15" customHeight="1" thickBot="1" x14ac:dyDescent="0.25">
      <c r="B23" s="213" t="s">
        <v>23</v>
      </c>
      <c r="C23" s="218">
        <f>'A. History Input &amp; Output'!O25*(1+'D. Growth Plan'!C23)+'D. Growth Plan'!D23</f>
        <v>39899.649999999994</v>
      </c>
      <c r="D23" s="233">
        <f t="shared" si="0"/>
        <v>2.8976942119271185E-2</v>
      </c>
      <c r="E23" s="218">
        <f>'E. Output'!C25*(1+'D. Growth Plan'!F23)+'D. Growth Plan'!G23</f>
        <v>40498.144749999992</v>
      </c>
      <c r="F23" s="233">
        <f t="shared" si="1"/>
        <v>2.9528773514405738E-2</v>
      </c>
      <c r="G23" s="218">
        <f>'E. Output'!E25*(1+'D. Growth Plan'!I23)+'D. Growth Plan'!J23</f>
        <v>41105.616921249988</v>
      </c>
      <c r="H23" s="233">
        <f t="shared" si="2"/>
        <v>2.961274435751288E-2</v>
      </c>
      <c r="I23" s="218">
        <f>'E. Output'!G25*(1+'D. Growth Plan'!L23)+'D. Growth Plan'!M23</f>
        <v>41722.201175068731</v>
      </c>
      <c r="J23" s="233">
        <f t="shared" si="3"/>
        <v>2.9806406455984646E-2</v>
      </c>
      <c r="K23" s="218">
        <f>'E. Output'!I25*(1+'D. Growth Plan'!O23)+'D. Growth Plan'!P23</f>
        <v>42139.423186819418</v>
      </c>
      <c r="L23" s="237">
        <f t="shared" si="4"/>
        <v>2.9819873488095304E-2</v>
      </c>
      <c r="N23" s="219"/>
    </row>
    <row r="24" spans="1:14" ht="15" customHeight="1" thickBot="1" x14ac:dyDescent="0.25">
      <c r="B24" s="213" t="s">
        <v>48</v>
      </c>
      <c r="C24" s="218">
        <f>'D. Growth Plan'!D24</f>
        <v>0</v>
      </c>
      <c r="D24" s="233">
        <f t="shared" si="0"/>
        <v>0</v>
      </c>
      <c r="E24" s="218">
        <f>'D. Growth Plan'!G24</f>
        <v>0</v>
      </c>
      <c r="F24" s="233">
        <f t="shared" si="1"/>
        <v>0</v>
      </c>
      <c r="G24" s="218">
        <f>'D. Growth Plan'!J24</f>
        <v>0</v>
      </c>
      <c r="H24" s="233">
        <f t="shared" si="2"/>
        <v>0</v>
      </c>
      <c r="I24" s="218">
        <f>'D. Growth Plan'!M24</f>
        <v>0</v>
      </c>
      <c r="J24" s="233">
        <f t="shared" si="3"/>
        <v>0</v>
      </c>
      <c r="K24" s="218">
        <f>'D. Growth Plan'!P24</f>
        <v>0</v>
      </c>
      <c r="L24" s="237">
        <f t="shared" si="4"/>
        <v>0</v>
      </c>
      <c r="N24" s="219"/>
    </row>
    <row r="25" spans="1:14" ht="15" customHeight="1" thickBot="1" x14ac:dyDescent="0.25">
      <c r="B25" s="213" t="s">
        <v>165</v>
      </c>
      <c r="C25" s="224">
        <f>C23-C24</f>
        <v>39899.649999999994</v>
      </c>
      <c r="D25" s="233">
        <f t="shared" si="0"/>
        <v>2.8976942119271185E-2</v>
      </c>
      <c r="E25" s="224">
        <f>E23-E24</f>
        <v>40498.144749999992</v>
      </c>
      <c r="F25" s="233">
        <f t="shared" si="1"/>
        <v>2.9528773514405738E-2</v>
      </c>
      <c r="G25" s="224">
        <f>G23-G24</f>
        <v>41105.616921249988</v>
      </c>
      <c r="H25" s="233">
        <f t="shared" si="2"/>
        <v>2.961274435751288E-2</v>
      </c>
      <c r="I25" s="224">
        <f>I23-I24</f>
        <v>41722.201175068731</v>
      </c>
      <c r="J25" s="233">
        <f t="shared" si="3"/>
        <v>2.9806406455984646E-2</v>
      </c>
      <c r="K25" s="224">
        <f>K23-K24</f>
        <v>42139.423186819418</v>
      </c>
      <c r="L25" s="237">
        <f t="shared" si="4"/>
        <v>2.9819873488095304E-2</v>
      </c>
      <c r="N25" s="219"/>
    </row>
    <row r="26" spans="1:14" ht="15" customHeight="1" thickBot="1" x14ac:dyDescent="0.25">
      <c r="B26" s="213" t="s">
        <v>220</v>
      </c>
      <c r="C26" s="218">
        <f>'A. History Input &amp; Output'!O26*(1+'D. Growth Plan'!C26)+'D. Growth Plan'!D26</f>
        <v>608.99999999999989</v>
      </c>
      <c r="D26" s="233">
        <f t="shared" si="0"/>
        <v>4.4228352255310888E-4</v>
      </c>
      <c r="E26" s="218">
        <f>'E. Output'!C26*(1+'D. Growth Plan'!F26)+'D. Growth Plan'!G26</f>
        <v>618.13499999999988</v>
      </c>
      <c r="F26" s="233">
        <f t="shared" si="1"/>
        <v>4.5070628615221173E-4</v>
      </c>
      <c r="G26" s="218">
        <f>'E. Output'!E26*(1+'D. Growth Plan'!I26)+'D. Growth Plan'!J26</f>
        <v>627.40702499999986</v>
      </c>
      <c r="H26" s="233">
        <f t="shared" si="2"/>
        <v>4.5198795763184253E-4</v>
      </c>
      <c r="I26" s="218">
        <f>'E. Output'!G26*(1+'D. Growth Plan'!L26)+'D. Growth Plan'!M26</f>
        <v>636.81813037499978</v>
      </c>
      <c r="J26" s="233">
        <f t="shared" si="3"/>
        <v>4.5494387874817576E-4</v>
      </c>
      <c r="K26" s="218">
        <f>'E. Output'!I26*(1+'D. Growth Plan'!O26)+'D. Growth Plan'!P26</f>
        <v>643.1863116787498</v>
      </c>
      <c r="L26" s="237">
        <f t="shared" si="4"/>
        <v>4.5514942998873533E-4</v>
      </c>
      <c r="N26" s="219"/>
    </row>
    <row r="27" spans="1:14" ht="15" customHeight="1" x14ac:dyDescent="0.2">
      <c r="B27" s="355" t="s">
        <v>201</v>
      </c>
      <c r="C27" s="220">
        <f>'A. History Input &amp; Output'!O27*(1+'D. Growth Plan'!C27)+'D. Growth Plan'!D27</f>
        <v>156309.99999999997</v>
      </c>
      <c r="D27" s="233">
        <f t="shared" si="0"/>
        <v>0.11351943745529795</v>
      </c>
      <c r="E27" s="220">
        <f>'E. Output'!C27*(1+'D. Growth Plan'!F27)+'D. Growth Plan'!G27</f>
        <v>158654.64999999997</v>
      </c>
      <c r="F27" s="233">
        <f t="shared" si="1"/>
        <v>0.115681280112401</v>
      </c>
      <c r="G27" s="220">
        <f>'E. Output'!E27*(1+'D. Growth Plan'!I27)+'D. Growth Plan'!J27</f>
        <v>161034.46974999996</v>
      </c>
      <c r="H27" s="233">
        <f t="shared" si="2"/>
        <v>0.11601024245883958</v>
      </c>
      <c r="I27" s="220">
        <f>'E. Output'!G27*(1+'D. Growth Plan'!L27)+'D. Growth Plan'!M27</f>
        <v>163449.98679624996</v>
      </c>
      <c r="J27" s="233">
        <f t="shared" si="3"/>
        <v>0.11676892887869846</v>
      </c>
      <c r="K27" s="220">
        <f>'E. Output'!I27*(1+'D. Growth Plan'!O27)+'D. Growth Plan'!P27</f>
        <v>165901.73659819367</v>
      </c>
      <c r="L27" s="237">
        <f t="shared" si="4"/>
        <v>0.11740001221376106</v>
      </c>
      <c r="N27" s="219"/>
    </row>
    <row r="28" spans="1:14" s="223" customFormat="1" ht="15" customHeight="1" x14ac:dyDescent="0.2">
      <c r="B28" s="225" t="s">
        <v>34</v>
      </c>
      <c r="C28" s="222">
        <f>SUM(C18:C22)+C27+C25+C26</f>
        <v>935267.80790175009</v>
      </c>
      <c r="D28" s="234">
        <f t="shared" si="0"/>
        <v>0.67923405682973803</v>
      </c>
      <c r="E28" s="222">
        <f>SUM(E18:E22)+E27+E25+E26</f>
        <v>925295.45029106992</v>
      </c>
      <c r="F28" s="234">
        <f t="shared" si="1"/>
        <v>0.67466892506366194</v>
      </c>
      <c r="G28" s="222">
        <f>SUM(G18:G22)+G27+G25+G26</f>
        <v>937276.75255606137</v>
      </c>
      <c r="H28" s="234">
        <f t="shared" si="2"/>
        <v>0.67522005371811089</v>
      </c>
      <c r="I28" s="222">
        <f>SUM(I18:I22)+I27+I25+I26</f>
        <v>944161.20392786455</v>
      </c>
      <c r="J28" s="234">
        <f t="shared" si="3"/>
        <v>0.67451025621011906</v>
      </c>
      <c r="K28" s="222">
        <f>SUM(K18:K22)+K27+K25+K26</f>
        <v>952594.10454033478</v>
      </c>
      <c r="L28" s="238">
        <f t="shared" si="4"/>
        <v>0.67410119870324336</v>
      </c>
      <c r="N28" s="219"/>
    </row>
    <row r="29" spans="1:14" ht="15" customHeight="1" x14ac:dyDescent="0.2">
      <c r="B29" s="213" t="s">
        <v>24</v>
      </c>
      <c r="C29" s="220">
        <f>'A. History Input &amp; Output'!O29*(1+'D. Growth Plan'!C29)+'D. Growth Plan'!D29</f>
        <v>0</v>
      </c>
      <c r="D29" s="233">
        <f t="shared" si="0"/>
        <v>0</v>
      </c>
      <c r="E29" s="220">
        <f>'E. Output'!C29*(1+'D. Growth Plan'!F29)+'D. Growth Plan'!G29</f>
        <v>0</v>
      </c>
      <c r="F29" s="233">
        <f t="shared" si="1"/>
        <v>0</v>
      </c>
      <c r="G29" s="220">
        <f>'E. Output'!E29*(1+'D. Growth Plan'!I29)+'D. Growth Plan'!J29</f>
        <v>0</v>
      </c>
      <c r="H29" s="233">
        <f t="shared" si="2"/>
        <v>0</v>
      </c>
      <c r="I29" s="220">
        <f>'E. Output'!G29*(1+'D. Growth Plan'!L29)+'D. Growth Plan'!M29</f>
        <v>0</v>
      </c>
      <c r="J29" s="233">
        <f t="shared" si="3"/>
        <v>0</v>
      </c>
      <c r="K29" s="220">
        <f>'E. Output'!I29*(1+'D. Growth Plan'!O29)+'D. Growth Plan'!P29</f>
        <v>0</v>
      </c>
      <c r="L29" s="237">
        <f t="shared" si="4"/>
        <v>0</v>
      </c>
      <c r="N29" s="219"/>
    </row>
    <row r="30" spans="1:14" s="223" customFormat="1" ht="15" customHeight="1" thickBot="1" x14ac:dyDescent="0.25">
      <c r="A30" s="226" t="s">
        <v>36</v>
      </c>
      <c r="B30" s="226"/>
      <c r="C30" s="227">
        <f>C14+C17+C28+C29</f>
        <v>1376944.8079017501</v>
      </c>
      <c r="D30" s="235">
        <v>1</v>
      </c>
      <c r="E30" s="227">
        <f>E14+E17+E28+E29</f>
        <v>1371480.76029107</v>
      </c>
      <c r="F30" s="235">
        <v>1</v>
      </c>
      <c r="G30" s="227">
        <f>G14+G17+G28+G29</f>
        <v>1388105.6218560613</v>
      </c>
      <c r="H30" s="235">
        <v>1</v>
      </c>
      <c r="I30" s="227">
        <f>I14+I17+I28+I29</f>
        <v>1399772.9393068645</v>
      </c>
      <c r="J30" s="235">
        <v>1</v>
      </c>
      <c r="K30" s="227">
        <f>K14+K17+K28+K29</f>
        <v>1413132.1919807047</v>
      </c>
      <c r="L30" s="239">
        <v>1</v>
      </c>
      <c r="N30" s="219"/>
    </row>
    <row r="31" spans="1:14" ht="7" customHeight="1" thickTop="1" x14ac:dyDescent="0.2">
      <c r="C31" s="228"/>
      <c r="D31" s="236"/>
      <c r="E31" s="228"/>
      <c r="F31" s="236"/>
      <c r="G31" s="228"/>
      <c r="H31" s="236"/>
      <c r="I31" s="228"/>
      <c r="J31" s="236"/>
      <c r="K31" s="228"/>
      <c r="L31" s="240"/>
    </row>
    <row r="32" spans="1:14" ht="15" customHeight="1" x14ac:dyDescent="0.2">
      <c r="A32" s="214" t="s">
        <v>37</v>
      </c>
      <c r="C32" s="228"/>
      <c r="D32" s="236"/>
      <c r="E32" s="228"/>
      <c r="F32" s="236"/>
      <c r="G32" s="228"/>
      <c r="H32" s="236"/>
      <c r="I32" s="228"/>
      <c r="J32" s="236"/>
      <c r="K32" s="228"/>
      <c r="L32" s="240"/>
    </row>
    <row r="33" spans="1:14" ht="6" customHeight="1" thickBot="1" x14ac:dyDescent="0.25">
      <c r="A33" s="214"/>
      <c r="C33" s="229"/>
      <c r="D33" s="233"/>
      <c r="E33" s="229"/>
      <c r="F33" s="233"/>
      <c r="G33" s="229"/>
      <c r="H33" s="233"/>
      <c r="I33" s="229"/>
      <c r="J33" s="233"/>
      <c r="K33" s="229"/>
      <c r="L33" s="237"/>
    </row>
    <row r="34" spans="1:14" ht="15" customHeight="1" thickBot="1" x14ac:dyDescent="0.25">
      <c r="B34" s="213" t="s">
        <v>25</v>
      </c>
      <c r="C34" s="218">
        <f>'A. History Input &amp; Output'!O34*(1+'D. Growth Plan'!C34)+'D. Growth Plan'!D34</f>
        <v>632735.18000000005</v>
      </c>
      <c r="D34" s="233">
        <f>C34/C$38</f>
        <v>0.63038395501307354</v>
      </c>
      <c r="E34" s="218">
        <f>'E. Output'!C34*(1+'D. Growth Plan'!F34)+'D. Growth Plan'!G34</f>
        <v>651717.23540000012</v>
      </c>
      <c r="F34" s="233">
        <f>E34/E$38</f>
        <v>0.63151705616181308</v>
      </c>
      <c r="G34" s="218">
        <f>'E. Output'!E34*(1+'D. Growth Plan'!I34)+'D. Growth Plan'!J34</f>
        <v>671268.75246200012</v>
      </c>
      <c r="H34" s="233">
        <f>G34/G$38</f>
        <v>0.63264870790114736</v>
      </c>
      <c r="I34" s="218">
        <f>'E. Output'!G34*(1+'D. Growth Plan'!L34)+'D. Growth Plan'!M34</f>
        <v>691406.81503586017</v>
      </c>
      <c r="J34" s="233">
        <f>I34/I$38</f>
        <v>0.63377889963749101</v>
      </c>
      <c r="K34" s="218">
        <f>'E. Output'!I34*(1+'D. Growth Plan'!O34)+'D. Growth Plan'!P34</f>
        <v>712149.01948693604</v>
      </c>
      <c r="L34" s="237">
        <f>K34/K$38</f>
        <v>0.6349076208391039</v>
      </c>
      <c r="N34" s="219"/>
    </row>
    <row r="35" spans="1:14" ht="15" customHeight="1" thickBot="1" x14ac:dyDescent="0.25">
      <c r="B35" s="213" t="s">
        <v>26</v>
      </c>
      <c r="C35" s="218">
        <f>'A. History Input &amp; Output'!O35*(1+'D. Growth Plan'!C35)+'D. Growth Plan'!D35-'A. History Input &amp; Output'!O36</f>
        <v>370994.64999999997</v>
      </c>
      <c r="D35" s="233">
        <f>C35/C$38</f>
        <v>0.36961604498692635</v>
      </c>
      <c r="E35" s="218">
        <f>'E. Output'!C35*(1+'D. Growth Plan'!F35)+'D. Growth Plan'!G35</f>
        <v>380269.51624999993</v>
      </c>
      <c r="F35" s="233">
        <f>E35/E$38</f>
        <v>0.36848294383818697</v>
      </c>
      <c r="G35" s="218">
        <f>'E. Output'!E35*(1+'D. Growth Plan'!I35)+'D. Growth Plan'!J35</f>
        <v>389776.25415624987</v>
      </c>
      <c r="H35" s="233">
        <f>G35/G$38</f>
        <v>0.36735129209885276</v>
      </c>
      <c r="I35" s="218">
        <f>'E. Output'!G35*(1+'D. Growth Plan'!L35)+'D. Growth Plan'!M35</f>
        <v>399520.66051015607</v>
      </c>
      <c r="J35" s="233">
        <f>I35/I$38</f>
        <v>0.36622110036250882</v>
      </c>
      <c r="K35" s="218">
        <f>'E. Output'!I35*(1+'D. Growth Plan'!O35)+'D. Growth Plan'!P35</f>
        <v>409508.67702290992</v>
      </c>
      <c r="L35" s="237">
        <f>K35/K$38</f>
        <v>0.36509237916089599</v>
      </c>
      <c r="N35" s="219"/>
    </row>
    <row r="36" spans="1:14" ht="14" customHeight="1" thickBot="1" x14ac:dyDescent="0.25">
      <c r="B36" s="213" t="s">
        <v>49</v>
      </c>
      <c r="C36" s="218">
        <f>C24</f>
        <v>0</v>
      </c>
      <c r="D36" s="233"/>
      <c r="E36" s="218">
        <f>E24</f>
        <v>0</v>
      </c>
      <c r="F36" s="233"/>
      <c r="G36" s="218">
        <f>G24</f>
        <v>0</v>
      </c>
      <c r="H36" s="233"/>
      <c r="I36" s="218">
        <f>I24</f>
        <v>0</v>
      </c>
      <c r="J36" s="233"/>
      <c r="K36" s="218">
        <f>K24</f>
        <v>0</v>
      </c>
      <c r="L36" s="237"/>
      <c r="N36" s="219"/>
    </row>
    <row r="37" spans="1:14" ht="15" customHeight="1" x14ac:dyDescent="0.2">
      <c r="B37" s="213" t="s">
        <v>29</v>
      </c>
      <c r="C37" s="220">
        <f>C35-C36</f>
        <v>370994.64999999997</v>
      </c>
      <c r="D37" s="233"/>
      <c r="E37" s="220">
        <f>E35-E36</f>
        <v>380269.51624999993</v>
      </c>
      <c r="F37" s="233"/>
      <c r="G37" s="220">
        <f>G35-G36</f>
        <v>389776.25415624987</v>
      </c>
      <c r="H37" s="233"/>
      <c r="I37" s="220">
        <f>I35-I36</f>
        <v>399520.66051015607</v>
      </c>
      <c r="J37" s="233"/>
      <c r="K37" s="220">
        <f>K35-K36</f>
        <v>409508.67702290992</v>
      </c>
      <c r="L37" s="237"/>
      <c r="N37" s="219"/>
    </row>
    <row r="38" spans="1:14" s="223" customFormat="1" ht="15" customHeight="1" thickBot="1" x14ac:dyDescent="0.25">
      <c r="A38" s="226" t="s">
        <v>69</v>
      </c>
      <c r="B38" s="226"/>
      <c r="C38" s="227">
        <f>C34+C37</f>
        <v>1003729.8300000001</v>
      </c>
      <c r="D38" s="235">
        <v>1</v>
      </c>
      <c r="E38" s="227">
        <f>E34+E37</f>
        <v>1031986.75165</v>
      </c>
      <c r="F38" s="235">
        <v>1</v>
      </c>
      <c r="G38" s="227">
        <f>G34+G37</f>
        <v>1061045.0066182499</v>
      </c>
      <c r="H38" s="235">
        <v>1</v>
      </c>
      <c r="I38" s="227">
        <f>I34+I37</f>
        <v>1090927.4755460164</v>
      </c>
      <c r="J38" s="235">
        <v>1</v>
      </c>
      <c r="K38" s="227">
        <f>K34+K37</f>
        <v>1121657.696509846</v>
      </c>
      <c r="L38" s="239">
        <v>1</v>
      </c>
      <c r="N38" s="219"/>
    </row>
    <row r="39" spans="1:14" s="223" customFormat="1" ht="15" customHeight="1" thickTop="1" x14ac:dyDescent="0.2">
      <c r="A39" s="223" t="s">
        <v>70</v>
      </c>
      <c r="B39" s="241"/>
      <c r="C39" s="242">
        <f>C30-C38</f>
        <v>373214.97790175001</v>
      </c>
      <c r="D39" s="243"/>
      <c r="E39" s="242">
        <f>E30-E38</f>
        <v>339494.00864106999</v>
      </c>
      <c r="F39" s="244"/>
      <c r="G39" s="242">
        <f>G30-G38</f>
        <v>327060.61523781135</v>
      </c>
      <c r="H39" s="244"/>
      <c r="I39" s="242">
        <f>I30-I38</f>
        <v>308845.46376084816</v>
      </c>
      <c r="J39" s="244"/>
      <c r="K39" s="242">
        <f>K30-K38</f>
        <v>291474.49547085864</v>
      </c>
      <c r="L39" s="230"/>
    </row>
    <row r="40" spans="1:14" ht="15" customHeight="1" x14ac:dyDescent="0.2">
      <c r="A40" s="223" t="s">
        <v>9</v>
      </c>
      <c r="C40" s="231">
        <f>'A. History Input &amp; Output'!O45</f>
        <v>1111418.0900000001</v>
      </c>
      <c r="D40" s="232"/>
      <c r="E40" s="231">
        <f>C42</f>
        <v>1384633.0679017501</v>
      </c>
      <c r="F40" s="232"/>
      <c r="G40" s="231">
        <f>E42</f>
        <v>1724127.0765428201</v>
      </c>
      <c r="H40" s="232"/>
      <c r="I40" s="231">
        <f>G42</f>
        <v>2051187.6917806314</v>
      </c>
      <c r="J40" s="232"/>
      <c r="K40" s="231">
        <f>I42</f>
        <v>2360033.1555414796</v>
      </c>
    </row>
    <row r="41" spans="1:14" ht="15" customHeight="1" thickBot="1" x14ac:dyDescent="0.25">
      <c r="A41" s="223"/>
      <c r="B41" s="213" t="s">
        <v>30</v>
      </c>
      <c r="C41" s="218">
        <f>'D. Growth Plan'!D39</f>
        <v>100000</v>
      </c>
      <c r="D41" s="232"/>
      <c r="E41" s="218">
        <f>'D. Growth Plan'!G39</f>
        <v>0</v>
      </c>
      <c r="F41" s="232"/>
      <c r="G41" s="218">
        <f>'D. Growth Plan'!J39</f>
        <v>0</v>
      </c>
      <c r="H41" s="232"/>
      <c r="I41" s="218">
        <f>'D. Growth Plan'!M39</f>
        <v>0</v>
      </c>
      <c r="J41" s="232"/>
      <c r="K41" s="218">
        <f>'D. Growth Plan'!P39</f>
        <v>0</v>
      </c>
    </row>
    <row r="42" spans="1:14" ht="15" customHeight="1" x14ac:dyDescent="0.2">
      <c r="A42" s="223" t="s">
        <v>10</v>
      </c>
      <c r="C42" s="231">
        <f>C39+C40-C41</f>
        <v>1384633.0679017501</v>
      </c>
      <c r="D42" s="232"/>
      <c r="E42" s="231">
        <f>E39+E40-E41</f>
        <v>1724127.0765428201</v>
      </c>
      <c r="F42" s="232"/>
      <c r="G42" s="231">
        <f>G39+G40-G41</f>
        <v>2051187.6917806314</v>
      </c>
      <c r="H42" s="232"/>
      <c r="I42" s="231">
        <f>I39+I40-I41</f>
        <v>2360033.1555414796</v>
      </c>
      <c r="J42" s="232"/>
      <c r="K42" s="231">
        <f>K39+K40-K41</f>
        <v>2651507.6510123382</v>
      </c>
    </row>
    <row r="43" spans="1:14" ht="14" customHeight="1" x14ac:dyDescent="0.2"/>
    <row r="44" spans="1:14" customFormat="1" ht="14" customHeight="1" x14ac:dyDescent="0.15"/>
    <row r="45" spans="1:14" customFormat="1" ht="14" customHeight="1" x14ac:dyDescent="0.15"/>
    <row r="46" spans="1:14" customFormat="1" ht="14" customHeight="1" x14ac:dyDescent="0.15"/>
    <row r="47" spans="1:14" customFormat="1" ht="14" customHeight="1" x14ac:dyDescent="0.15"/>
    <row r="48" spans="1:14" customFormat="1" ht="14" customHeight="1" x14ac:dyDescent="0.15"/>
    <row r="49" customFormat="1" ht="24" customHeight="1" x14ac:dyDescent="0.15"/>
    <row r="50" ht="14" customHeight="1" x14ac:dyDescent="0.2"/>
    <row r="51" ht="14" customHeight="1" x14ac:dyDescent="0.2"/>
    <row r="52" ht="14" customHeight="1" x14ac:dyDescent="0.2"/>
    <row r="53" ht="14" customHeight="1" x14ac:dyDescent="0.2"/>
    <row r="54" ht="14" customHeight="1" x14ac:dyDescent="0.2"/>
  </sheetData>
  <mergeCells count="1">
    <mergeCell ref="A3:L3"/>
  </mergeCells>
  <phoneticPr fontId="2" type="noConversion"/>
  <printOptions horizontalCentered="1" verticalCentered="1" gridLines="1"/>
  <pageMargins left="0.45" right="0.45" top="1" bottom="1" header="0.5" footer="0.5"/>
  <pageSetup scale="72" orientation="landscape"/>
  <headerFooter alignWithMargins="0">
    <oddFooter>&amp;C&amp;8&amp;D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7:M15"/>
  <sheetViews>
    <sheetView workbookViewId="0">
      <selection activeCell="F11" sqref="F10:F15"/>
    </sheetView>
  </sheetViews>
  <sheetFormatPr baseColWidth="10" defaultRowHeight="13" x14ac:dyDescent="0.15"/>
  <cols>
    <col min="2" max="2" width="39.5" bestFit="1" customWidth="1"/>
  </cols>
  <sheetData>
    <row r="7" spans="1:13" ht="16" x14ac:dyDescent="0.2">
      <c r="C7" s="43">
        <v>2011</v>
      </c>
      <c r="D7" s="43"/>
      <c r="E7" s="43">
        <v>2012</v>
      </c>
      <c r="F7" s="43"/>
      <c r="G7" s="43">
        <v>2013</v>
      </c>
      <c r="H7" s="43"/>
      <c r="I7" s="43">
        <v>2014</v>
      </c>
      <c r="J7" s="43"/>
      <c r="K7" s="43">
        <v>2015</v>
      </c>
      <c r="L7" s="43"/>
      <c r="M7" s="43">
        <v>2016</v>
      </c>
    </row>
    <row r="8" spans="1:13" ht="16" x14ac:dyDescent="0.2">
      <c r="C8" s="198" t="s">
        <v>96</v>
      </c>
      <c r="D8" s="146" t="s">
        <v>31</v>
      </c>
      <c r="E8" s="198" t="s">
        <v>96</v>
      </c>
      <c r="F8" s="146" t="s">
        <v>31</v>
      </c>
      <c r="G8" s="198" t="s">
        <v>96</v>
      </c>
      <c r="H8" s="146" t="s">
        <v>31</v>
      </c>
      <c r="I8" s="198" t="s">
        <v>96</v>
      </c>
      <c r="J8" s="146" t="s">
        <v>31</v>
      </c>
      <c r="K8" s="198" t="s">
        <v>96</v>
      </c>
      <c r="L8" s="146" t="s">
        <v>31</v>
      </c>
      <c r="M8" s="198" t="s">
        <v>97</v>
      </c>
    </row>
    <row r="9" spans="1:13" ht="16" x14ac:dyDescent="0.2">
      <c r="A9" s="35" t="s">
        <v>133</v>
      </c>
      <c r="B9" s="34"/>
    </row>
    <row r="10" spans="1:13" ht="16" x14ac:dyDescent="0.2">
      <c r="A10" s="34"/>
      <c r="B10" s="34" t="s">
        <v>137</v>
      </c>
      <c r="F10" s="175" t="e">
        <f t="shared" ref="F10:F15" si="0">(E10/C10-1)</f>
        <v>#DIV/0!</v>
      </c>
    </row>
    <row r="11" spans="1:13" ht="16" x14ac:dyDescent="0.2">
      <c r="A11" s="34"/>
      <c r="B11" s="34" t="s">
        <v>136</v>
      </c>
      <c r="F11" s="175" t="e">
        <f t="shared" si="0"/>
        <v>#DIV/0!</v>
      </c>
    </row>
    <row r="12" spans="1:13" ht="16" x14ac:dyDescent="0.2">
      <c r="A12" s="34"/>
      <c r="B12" s="34" t="s">
        <v>109</v>
      </c>
      <c r="F12" s="175" t="e">
        <f t="shared" si="0"/>
        <v>#DIV/0!</v>
      </c>
    </row>
    <row r="13" spans="1:13" ht="16" x14ac:dyDescent="0.2">
      <c r="A13" s="34"/>
      <c r="B13" s="118" t="s">
        <v>134</v>
      </c>
      <c r="F13" s="175" t="e">
        <f t="shared" si="0"/>
        <v>#DIV/0!</v>
      </c>
    </row>
    <row r="14" spans="1:13" ht="16" x14ac:dyDescent="0.2">
      <c r="A14" s="34"/>
      <c r="B14" s="34" t="s">
        <v>110</v>
      </c>
      <c r="F14" s="171" t="e">
        <f t="shared" si="0"/>
        <v>#DIV/0!</v>
      </c>
    </row>
    <row r="15" spans="1:13" ht="16" x14ac:dyDescent="0.2">
      <c r="A15" s="34"/>
      <c r="B15" s="118" t="s">
        <v>135</v>
      </c>
      <c r="F15" s="175" t="e">
        <f t="shared" si="0"/>
        <v>#DIV/0!</v>
      </c>
    </row>
  </sheetData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9</vt:i4>
      </vt:variant>
    </vt:vector>
  </HeadingPairs>
  <TitlesOfParts>
    <vt:vector size="21" baseType="lpstr">
      <vt:lpstr>Instructions</vt:lpstr>
      <vt:lpstr>Color Guide</vt:lpstr>
      <vt:lpstr>Setup</vt:lpstr>
      <vt:lpstr>Membership History and Planning</vt:lpstr>
      <vt:lpstr>Council Program Fees</vt:lpstr>
      <vt:lpstr>A. History Input &amp; Output</vt:lpstr>
      <vt:lpstr>B. Historical Growth</vt:lpstr>
      <vt:lpstr>C. Endowment Investments</vt:lpstr>
      <vt:lpstr>Capital Fund -Camping</vt:lpstr>
      <vt:lpstr>D. Growth Plan</vt:lpstr>
      <vt:lpstr>E. Output</vt:lpstr>
      <vt:lpstr>Sheet1</vt:lpstr>
      <vt:lpstr>'A. History Input &amp; Output'!Print_Area</vt:lpstr>
      <vt:lpstr>'B. Historical Growth'!Print_Area</vt:lpstr>
      <vt:lpstr>'C. Endowment Investments'!Print_Area</vt:lpstr>
      <vt:lpstr>'Council Program Fees'!Print_Area</vt:lpstr>
      <vt:lpstr>'D. Growth Plan'!Print_Area</vt:lpstr>
      <vt:lpstr>'E. Output'!Print_Area</vt:lpstr>
      <vt:lpstr>Instructions!Print_Area</vt:lpstr>
      <vt:lpstr>'Membership History and Planning'!Print_Area</vt:lpstr>
      <vt:lpstr>Setup!Print_Area</vt:lpstr>
    </vt:vector>
  </TitlesOfParts>
  <Company>bsa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Rand</dc:creator>
  <cp:lastModifiedBy>Rick Clark</cp:lastModifiedBy>
  <cp:lastPrinted>2021-02-14T22:35:56Z</cp:lastPrinted>
  <dcterms:created xsi:type="dcterms:W3CDTF">2012-06-28T13:52:30Z</dcterms:created>
  <dcterms:modified xsi:type="dcterms:W3CDTF">2022-10-31T17:21:15Z</dcterms:modified>
</cp:coreProperties>
</file>